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fabcle\Documents\Mes Documents\DOSSIER RESULTATS DEFINITIFS BAC\session 2023\FICHIERS\"/>
    </mc:Choice>
  </mc:AlternateContent>
  <xr:revisionPtr revIDLastSave="0" documentId="13_ncr:1_{3255DAE3-C766-4595-8A31-B882B81E0C85}" xr6:coauthVersionLast="36" xr6:coauthVersionMax="36" xr10:uidLastSave="{00000000-0000-0000-0000-000000000000}"/>
  <bookViews>
    <workbookView xWindow="0" yWindow="0" windowWidth="28800" windowHeight="11625" xr2:uid="{3E07616B-1C05-406F-AE57-2693E0EA280F}"/>
  </bookViews>
  <sheets>
    <sheet name="chapo" sheetId="19" r:id="rId1"/>
    <sheet name="Graph1" sheetId="4" r:id="rId2"/>
    <sheet name="Tab1" sheetId="3" r:id="rId3"/>
    <sheet name="Tab2" sheetId="5" r:id="rId4"/>
    <sheet name="Tab3" sheetId="6" r:id="rId5"/>
    <sheet name="Tab4" sheetId="7" r:id="rId6"/>
    <sheet name="Graph2" sheetId="14" r:id="rId7"/>
    <sheet name="Graph3" sheetId="15" r:id="rId8"/>
    <sheet name="Tab5" sheetId="16" r:id="rId9"/>
    <sheet name="Graph4" sheetId="17" r:id="rId10"/>
    <sheet name="Sources et définitions" sheetId="18" r:id="rId11"/>
  </sheets>
  <externalReferences>
    <externalReference r:id="rId12"/>
  </externalReferences>
  <definedNames>
    <definedName name="_xlnm.Print_Area" localSheetId="1">Graph1!$J$3:$R$8</definedName>
    <definedName name="_xlnm.Print_Area" localSheetId="6">Graph2!$J$4:$R$10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6" l="1"/>
  <c r="G15" i="5" l="1"/>
  <c r="G31" i="16" l="1"/>
  <c r="B7" i="16"/>
  <c r="E20" i="7" l="1"/>
  <c r="D20" i="7"/>
  <c r="C20" i="7"/>
  <c r="B20" i="7"/>
  <c r="E18" i="7"/>
  <c r="D18" i="7"/>
  <c r="C18" i="7"/>
  <c r="E17" i="7"/>
  <c r="D17" i="7"/>
  <c r="C17" i="7"/>
  <c r="E16" i="7"/>
  <c r="E14" i="7"/>
  <c r="D14" i="7"/>
  <c r="C14" i="7"/>
  <c r="E13" i="7"/>
  <c r="D13" i="7"/>
  <c r="C13" i="7"/>
  <c r="E12" i="7"/>
  <c r="D12" i="7"/>
  <c r="C12" i="7"/>
  <c r="E11" i="7"/>
  <c r="D11" i="7"/>
  <c r="C11" i="7"/>
  <c r="E10" i="7"/>
  <c r="D10" i="7"/>
  <c r="C10" i="7"/>
  <c r="E9" i="7"/>
  <c r="D9" i="7"/>
  <c r="C9" i="7"/>
  <c r="E8" i="7"/>
  <c r="D8" i="7"/>
  <c r="C8" i="7"/>
  <c r="E7" i="7"/>
  <c r="D7" i="7"/>
  <c r="C7" i="7"/>
  <c r="E5" i="7"/>
  <c r="D5" i="7"/>
  <c r="C5" i="7"/>
  <c r="G22" i="5" l="1"/>
  <c r="G20" i="5"/>
  <c r="G19" i="5"/>
  <c r="G18" i="5"/>
  <c r="G16" i="5"/>
  <c r="G14" i="5"/>
  <c r="G13" i="5"/>
  <c r="G12" i="5"/>
  <c r="G11" i="5"/>
  <c r="G10" i="5"/>
  <c r="G9" i="5"/>
  <c r="G7" i="5"/>
  <c r="C22" i="5"/>
  <c r="B22" i="5"/>
  <c r="D20" i="5"/>
  <c r="E20" i="5" s="1"/>
  <c r="D19" i="5"/>
  <c r="E19" i="5" s="1"/>
  <c r="D18" i="5"/>
  <c r="E18" i="5" s="1"/>
  <c r="D16" i="5"/>
  <c r="E16" i="5" s="1"/>
  <c r="D15" i="5"/>
  <c r="E15" i="5" s="1"/>
  <c r="D14" i="5"/>
  <c r="E14" i="5" s="1"/>
  <c r="D13" i="5"/>
  <c r="E13" i="5" s="1"/>
  <c r="D12" i="5"/>
  <c r="E12" i="5" s="1"/>
  <c r="D11" i="5"/>
  <c r="E11" i="5" s="1"/>
  <c r="D10" i="5"/>
  <c r="E10" i="5" s="1"/>
  <c r="D9" i="5"/>
  <c r="D7" i="5"/>
  <c r="D22" i="5" l="1"/>
  <c r="K11" i="14" l="1"/>
  <c r="R11" i="14"/>
  <c r="P11" i="14"/>
  <c r="L11" i="14"/>
  <c r="M11" i="14"/>
  <c r="N11" i="14"/>
  <c r="O11" i="14"/>
  <c r="Q11" i="14"/>
  <c r="S6" i="4" l="1"/>
  <c r="S5" i="4"/>
  <c r="S4" i="4" l="1"/>
</calcChain>
</file>

<file path=xl/sharedStrings.xml><?xml version="1.0" encoding="utf-8"?>
<sst xmlns="http://schemas.openxmlformats.org/spreadsheetml/2006/main" count="207" uniqueCount="123">
  <si>
    <t>Bac général</t>
  </si>
  <si>
    <t>Ensemble</t>
  </si>
  <si>
    <t>Production</t>
  </si>
  <si>
    <t>Services</t>
  </si>
  <si>
    <t>Académie</t>
  </si>
  <si>
    <t>France</t>
  </si>
  <si>
    <t>Défavorisée</t>
  </si>
  <si>
    <t>Graphique 2 Répartition des présents selon le baccalauréat et l’origine sociale</t>
  </si>
  <si>
    <t>Graphique 1 Évolution du taux de réussite sur 10 ans</t>
  </si>
  <si>
    <t>Tableau 1 Résultats par département</t>
  </si>
  <si>
    <t>Tableau 2 Résultats académiques et nationaux</t>
  </si>
  <si>
    <t>Tableau 4 Résultats par sexe</t>
  </si>
  <si>
    <t>Tableau 5 Sections européennes</t>
  </si>
  <si>
    <t>Tableau 7 Dispositif Azubi-bacpro</t>
  </si>
  <si>
    <t>Tableau 8 Sections internationales</t>
  </si>
  <si>
    <t>2014</t>
  </si>
  <si>
    <t>2015</t>
  </si>
  <si>
    <t>2016</t>
  </si>
  <si>
    <t>2017</t>
  </si>
  <si>
    <t>2018</t>
  </si>
  <si>
    <t>2019</t>
  </si>
  <si>
    <t>2020</t>
  </si>
  <si>
    <t>BAC GENERAL</t>
  </si>
  <si>
    <t>BAC TECHNOLOGIQUE</t>
  </si>
  <si>
    <t>BAC PROFESSIONNEL</t>
  </si>
  <si>
    <t>TOUS BACS CONFONDUS</t>
  </si>
  <si>
    <t>TOUS BACS CONFONDUS France</t>
  </si>
  <si>
    <t>2021</t>
  </si>
  <si>
    <t>Filles</t>
  </si>
  <si>
    <t>Garçons</t>
  </si>
  <si>
    <t>Très bien avec les félicitations du jury</t>
  </si>
  <si>
    <t>Académie de Strasbourg</t>
  </si>
  <si>
    <t xml:space="preserve">Total </t>
  </si>
  <si>
    <t>Une origine sociale du candidat marquée selon le baccalauréat présenté</t>
  </si>
  <si>
    <t>Bac techno</t>
  </si>
  <si>
    <t>Bac pro</t>
  </si>
  <si>
    <t>Favorisée</t>
  </si>
  <si>
    <t>Moyenne</t>
  </si>
  <si>
    <t>Non renseignée</t>
  </si>
  <si>
    <t>La réussite au baccalauréat est en partie dépendante de l'origine sociale</t>
  </si>
  <si>
    <t>Des dispositifs nationaux et académiques</t>
  </si>
  <si>
    <t>Taux de mentions (%)</t>
  </si>
  <si>
    <t>(*) Poids : pourcentage de présents de sections européennes sur l’ensemble des présents du baccalauréat dans l’académie</t>
  </si>
  <si>
    <t>Tableau 6 Sections bi-nationales</t>
  </si>
  <si>
    <t>Section</t>
  </si>
  <si>
    <t>Abibac</t>
  </si>
  <si>
    <t>Bachibac</t>
  </si>
  <si>
    <t>(*) Poids : pourcentage de présents à l’Abibac sur l’ensemble des présents de la série dans l’académie</t>
  </si>
  <si>
    <t>(*) Poids : pourcentage de présents à l'Azubi-bacpro sur l'ensemble des présents du baccalauréat professionnel de l'académie</t>
  </si>
  <si>
    <t>(*) Poids : pourcentage de présents de sections internationales sur l'ensemble des présents du baccalauréat général de l'académie</t>
  </si>
  <si>
    <t>Les apprentis réussissent mieux en Alsace</t>
  </si>
  <si>
    <t>Graphique 4 Taux de réussite au baccalauréat professionnel selon le statut et le domaine</t>
  </si>
  <si>
    <t>Apprentis</t>
  </si>
  <si>
    <t>Scolaires</t>
  </si>
  <si>
    <t>2022</t>
  </si>
  <si>
    <t>Ensemble France</t>
  </si>
  <si>
    <t>France (métro + Dom)</t>
  </si>
  <si>
    <t>Très bien</t>
  </si>
  <si>
    <t>Bien</t>
  </si>
  <si>
    <t>Assez bien</t>
  </si>
  <si>
    <t>académie</t>
  </si>
  <si>
    <t>Tableau 3 Un pourcentage de mentions élevé dans l'académie</t>
  </si>
  <si>
    <t>Les filles réussissent mieux que les garçons</t>
  </si>
  <si>
    <t xml:space="preserve">Quel que soit le baccalauréat, la réussite est liée à l'appartenance sociale des candidats. </t>
  </si>
  <si>
    <t>Positionnement sur 30 académies</t>
  </si>
  <si>
    <t>Répartition des mentions selon le baccalauréat et le sexe(en %)</t>
  </si>
  <si>
    <t>Graphique 3 Taux de réussite selon l’origine sociale</t>
  </si>
  <si>
    <t>2023</t>
  </si>
  <si>
    <t>Évol°/ 2022
(pts)</t>
  </si>
  <si>
    <t>Le taux de réussite en hausse pour le baccalauréat professionnel</t>
  </si>
  <si>
    <t>France (métro + Drom)</t>
  </si>
  <si>
    <t>En 2023, 19 647 candidats se sont</t>
  </si>
  <si>
    <t>présentés aux épreuves du baccalauréat soit</t>
  </si>
  <si>
    <t>471 de plus que l’an dernier.</t>
  </si>
  <si>
    <t>Le taux de réussite au baccalauréat atteint 91,2 %. Il est supérieur de 0,5 point au taux national (90,7 %).</t>
  </si>
  <si>
    <t>+0,5 point au baccalauréat professionnel</t>
  </si>
  <si>
    <t>+3,8 points à la série STI2D</t>
  </si>
  <si>
    <r>
      <t xml:space="preserve">17 927 </t>
    </r>
    <r>
      <rPr>
        <sz val="11"/>
        <rFont val="Calibri"/>
        <family val="2"/>
        <scheme val="minor"/>
      </rPr>
      <t>admis</t>
    </r>
  </si>
  <si>
    <r>
      <t xml:space="preserve">100,0 % </t>
    </r>
    <r>
      <rPr>
        <sz val="11"/>
        <rFont val="Calibri"/>
        <family val="2"/>
        <scheme val="minor"/>
      </rPr>
      <t>de réussite pour la série STD2A</t>
    </r>
  </si>
  <si>
    <t>Des résultats globalement stables</t>
  </si>
  <si>
    <t>A la session 2023, le taux de réussite tous baccalauréats confondus reste stable dans l’académie comme en France, : 91,2 % au niveau académique (+0,1 point) et 90,7 % au niveau national (-0,3 point ).</t>
  </si>
  <si>
    <t>Par rapport à la session 2022, les baccalauréats général et technologique perdent respectivement 0,4 et 0,2 point alors que le baccalauréat professionnel progresse de 0,5 point.</t>
  </si>
  <si>
    <t>Dans le Haut-Rhin, le baccalauréat professionnel gagne 0,9 point (+0,1 point dans le Bas-Rhin).</t>
  </si>
  <si>
    <t>Une hausse du taux de réussite pour les baccalauréats professionnels du domaine de la production</t>
  </si>
  <si>
    <t>Globalement, les taux de mentions de l'académie sont supérieurs à ceux observés au niveau national et ce quelle que soit le baccalauréat : +5,3 points pour le bac général, +3,5 points pour le bac technologique et +1,5 point pour le bac professionnel.</t>
  </si>
  <si>
    <t>La réussite au bac général est de 96,0 % (+0,5 point par rapport au niveau national), de 89,9 % au bac technologique (+0,5 point par rapport au niveau national) et de 82,8 % au bac professionnel (+0,2 point par rapport au niveau national).</t>
  </si>
  <si>
    <t>62,8 % de mentions au baccalauréat pour les garçons contre 70,8 % pour les filles</t>
  </si>
  <si>
    <t>86,2 % de réussite pour les apprentis  au bac professionnel</t>
  </si>
  <si>
    <t>Bas-Rhin</t>
  </si>
  <si>
    <t>Haut-Rhin</t>
  </si>
  <si>
    <t>Baccalauréat</t>
  </si>
  <si>
    <t>Taux de réussite (%)</t>
  </si>
  <si>
    <t>Général</t>
  </si>
  <si>
    <t>Technologique</t>
  </si>
  <si>
    <t>Professionnel</t>
  </si>
  <si>
    <t xml:space="preserve">Par rapport à 2022, le taux de réussite baisse de 0,1 point dans le Bas-Rhin et  augmente de 0,4 point dans le Haut-Rhin. </t>
  </si>
  <si>
    <t>Présents</t>
  </si>
  <si>
    <t>Admis</t>
  </si>
  <si>
    <t>Bac technologique</t>
  </si>
  <si>
    <t>STMG</t>
  </si>
  <si>
    <t>STAV</t>
  </si>
  <si>
    <t>ST2S</t>
  </si>
  <si>
    <t>STL</t>
  </si>
  <si>
    <t>STI2D</t>
  </si>
  <si>
    <t>STD2A</t>
  </si>
  <si>
    <t>STHR</t>
  </si>
  <si>
    <t>Bac professionnel</t>
  </si>
  <si>
    <t>Mentions</t>
  </si>
  <si>
    <t>Techno</t>
  </si>
  <si>
    <t>Pro</t>
  </si>
  <si>
    <t>% de mentions</t>
  </si>
  <si>
    <t>Tous baccalauréats confondus, 78,8 % des filles et 71,4 % des garçons de l'académie admis à l'examen obtiennent une mention soit un écart de 7,4 points entre les sexes.</t>
  </si>
  <si>
    <t>% de filles</t>
  </si>
  <si>
    <t>Taux de réussite des filles (%)</t>
  </si>
  <si>
    <t>Taux de réussite  des garçons (%)</t>
  </si>
  <si>
    <t>Ensemble académie</t>
  </si>
  <si>
    <t xml:space="preserve">La différence entre les taux de réussite des jeunes des milieux très favorisés et des milieux défavorisés est de 10,4 points pour le baccalauréat professionnel, de 9,6 points pour le bac technologique et de 6,3 points pour le baccalauréat général. </t>
  </si>
  <si>
    <t xml:space="preserve">Ces écarts sont inférieurs à ceux du niveau national sauf pour le bac technologique. </t>
  </si>
  <si>
    <r>
      <rPr>
        <b/>
        <sz val="9"/>
        <rFont val="Arial"/>
        <family val="2"/>
      </rPr>
      <t>Poids (</t>
    </r>
    <r>
      <rPr>
        <b/>
        <vertAlign val="superscript"/>
        <sz val="5"/>
        <rFont val="Arial"/>
        <family val="2"/>
      </rPr>
      <t>*</t>
    </r>
    <r>
      <rPr>
        <b/>
        <sz val="9"/>
        <rFont val="Arial"/>
        <family val="2"/>
      </rPr>
      <t>) en %</t>
    </r>
  </si>
  <si>
    <t>Mention européenne (en %)</t>
  </si>
  <si>
    <t>Admis au certificat de compétences</t>
  </si>
  <si>
    <t>Très favorisée</t>
  </si>
  <si>
    <t>très favorisée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</si>
</sst>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
    <numFmt numFmtId="166" formatCode="\+0.0;\-0.0"/>
  </numFmts>
  <fonts count="17" x14ac:knownFonts="1">
    <font>
      <sz val="11"/>
      <color theme="1"/>
      <name val="Calibri"/>
      <family val="2"/>
      <scheme val="minor"/>
    </font>
    <font>
      <sz val="9"/>
      <name val="Microsoft Sans Serif"/>
      <family val="2"/>
    </font>
    <font>
      <b/>
      <sz val="9"/>
      <name val="Arial"/>
      <family val="2"/>
    </font>
    <font>
      <b/>
      <sz val="9"/>
      <name val="Calibri"/>
      <family val="2"/>
      <scheme val="minor"/>
    </font>
    <font>
      <sz val="10"/>
      <color rgb="FF000000"/>
      <name val="Arial"/>
      <family val="2"/>
    </font>
    <font>
      <sz val="11"/>
      <name val="Calibri"/>
      <family val="2"/>
      <scheme val="minor"/>
    </font>
    <font>
      <sz val="9"/>
      <name val="Arial"/>
      <family val="2"/>
    </font>
    <font>
      <b/>
      <sz val="11"/>
      <name val="Calibri"/>
      <family val="2"/>
      <scheme val="minor"/>
    </font>
    <font>
      <sz val="11"/>
      <color theme="1"/>
      <name val="Calibri"/>
      <family val="2"/>
      <scheme val="minor"/>
    </font>
    <font>
      <sz val="10"/>
      <name val="Arial"/>
      <family val="2"/>
    </font>
    <font>
      <sz val="6"/>
      <name val="Arial"/>
      <family val="2"/>
    </font>
    <font>
      <b/>
      <sz val="9"/>
      <name val="Microsoft Sans Serif"/>
      <family val="2"/>
    </font>
    <font>
      <i/>
      <sz val="10"/>
      <name val="Arial"/>
      <family val="2"/>
    </font>
    <font>
      <b/>
      <sz val="10"/>
      <name val="Arial"/>
      <family val="2"/>
    </font>
    <font>
      <b/>
      <vertAlign val="superscript"/>
      <sz val="5"/>
      <name val="Arial"/>
      <family val="2"/>
    </font>
    <font>
      <sz val="8"/>
      <name val="Calibri"/>
      <family val="2"/>
      <scheme val="minor"/>
    </font>
    <font>
      <sz val="7"/>
      <name val="Arial"/>
      <family val="2"/>
    </font>
  </fonts>
  <fills count="13">
    <fill>
      <patternFill patternType="none"/>
    </fill>
    <fill>
      <patternFill patternType="gray125"/>
    </fill>
    <fill>
      <patternFill patternType="solid">
        <fgColor rgb="FFA5A3D1"/>
      </patternFill>
    </fill>
    <fill>
      <patternFill patternType="solid">
        <fgColor rgb="FF6364AD"/>
      </patternFill>
    </fill>
    <fill>
      <patternFill patternType="solid">
        <fgColor rgb="FFE4E3F2"/>
      </patternFill>
    </fill>
    <fill>
      <patternFill patternType="solid">
        <fgColor rgb="FF675C91"/>
      </patternFill>
    </fill>
    <fill>
      <patternFill patternType="solid">
        <fgColor rgb="FF8381BD"/>
      </patternFill>
    </fill>
    <fill>
      <patternFill patternType="solid">
        <fgColor indexed="9"/>
        <bgColor indexed="9"/>
      </patternFill>
    </fill>
    <fill>
      <patternFill patternType="solid">
        <fgColor rgb="FFF8FBFC"/>
        <bgColor rgb="FFFFFFFF"/>
      </patternFill>
    </fill>
    <fill>
      <patternFill patternType="solid">
        <fgColor rgb="FFFFFFFF"/>
        <bgColor rgb="FFFFFFFF"/>
      </patternFill>
    </fill>
    <fill>
      <patternFill patternType="solid">
        <fgColor theme="0"/>
        <bgColor indexed="64"/>
      </patternFill>
    </fill>
    <fill>
      <patternFill patternType="solid">
        <fgColor rgb="FFA5A3D1"/>
        <bgColor indexed="64"/>
      </patternFill>
    </fill>
    <fill>
      <patternFill patternType="solid">
        <fgColor rgb="FFF7F7F7"/>
        <bgColor rgb="FFFFFFFF"/>
      </patternFill>
    </fill>
  </fills>
  <borders count="29">
    <border>
      <left/>
      <right/>
      <top/>
      <bottom/>
      <diagonal/>
    </border>
    <border>
      <left/>
      <right style="thin">
        <color rgb="FFFFFFFF"/>
      </right>
      <top/>
      <bottom/>
      <diagonal/>
    </border>
    <border>
      <left style="thin">
        <color rgb="FFFFFFFF"/>
      </left>
      <right/>
      <top/>
      <bottom/>
      <diagonal/>
    </border>
    <border>
      <left/>
      <right/>
      <top/>
      <bottom style="thin">
        <color rgb="FFCECCE7"/>
      </bottom>
      <diagonal/>
    </border>
    <border>
      <left/>
      <right style="thin">
        <color rgb="FFCECCE7"/>
      </right>
      <top/>
      <bottom style="thin">
        <color rgb="FFCECCE7"/>
      </bottom>
      <diagonal/>
    </border>
    <border>
      <left style="thin">
        <color rgb="FFCECCE7"/>
      </left>
      <right style="thin">
        <color rgb="FFCECCE7"/>
      </right>
      <top/>
      <bottom style="thin">
        <color rgb="FFCECCE7"/>
      </bottom>
      <diagonal/>
    </border>
    <border>
      <left style="thin">
        <color rgb="FFCECCE7"/>
      </left>
      <right/>
      <top/>
      <bottom style="thin">
        <color rgb="FFCECCE7"/>
      </bottom>
      <diagonal/>
    </border>
    <border>
      <left/>
      <right style="thin">
        <color rgb="FFCECCE7"/>
      </right>
      <top style="thin">
        <color rgb="FFCECCE7"/>
      </top>
      <bottom style="thin">
        <color rgb="FFCECCE7"/>
      </bottom>
      <diagonal/>
    </border>
    <border>
      <left style="thin">
        <color rgb="FFCECCE7"/>
      </left>
      <right style="thin">
        <color rgb="FFCECCE7"/>
      </right>
      <top style="thin">
        <color rgb="FFCECCE7"/>
      </top>
      <bottom style="thin">
        <color rgb="FFCECCE7"/>
      </bottom>
      <diagonal/>
    </border>
    <border>
      <left style="thin">
        <color rgb="FFCECCE7"/>
      </left>
      <right/>
      <top style="thin">
        <color rgb="FFCECCE7"/>
      </top>
      <bottom style="thin">
        <color rgb="FFCECCE7"/>
      </bottom>
      <diagonal/>
    </border>
    <border>
      <left/>
      <right style="thin">
        <color rgb="FFCECCE7"/>
      </right>
      <top style="thin">
        <color rgb="FFCECCE7"/>
      </top>
      <bottom/>
      <diagonal/>
    </border>
    <border>
      <left style="thin">
        <color rgb="FFCECCE7"/>
      </left>
      <right style="thin">
        <color rgb="FFCECCE7"/>
      </right>
      <top style="thin">
        <color rgb="FFCECCE7"/>
      </top>
      <bottom/>
      <diagonal/>
    </border>
    <border>
      <left style="thin">
        <color rgb="FFCECCE7"/>
      </left>
      <right/>
      <top style="thin">
        <color rgb="FFCECCE7"/>
      </top>
      <bottom/>
      <diagonal/>
    </border>
    <border>
      <left/>
      <right style="thin">
        <color rgb="FFCECCE7"/>
      </right>
      <top/>
      <bottom/>
      <diagonal/>
    </border>
    <border>
      <left style="thin">
        <color rgb="FFCECCE7"/>
      </left>
      <right style="thin">
        <color rgb="FFCECCE7"/>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CECCE7"/>
      </left>
      <right/>
      <top/>
      <bottom/>
      <diagonal/>
    </border>
    <border>
      <left style="thin">
        <color rgb="FFFFFFFF"/>
      </left>
      <right style="thin">
        <color rgb="FFFFFFFF"/>
      </right>
      <top/>
      <bottom/>
      <diagonal/>
    </border>
    <border>
      <left/>
      <right style="thin">
        <color rgb="FFEEE0EE"/>
      </right>
      <top/>
      <bottom/>
      <diagonal/>
    </border>
    <border>
      <left/>
      <right style="thin">
        <color rgb="FFFFFFFF"/>
      </right>
      <top/>
      <bottom style="thin">
        <color rgb="FFF4E3EF"/>
      </bottom>
      <diagonal/>
    </border>
    <border>
      <left style="thin">
        <color rgb="FFFFFFFF"/>
      </left>
      <right style="thin">
        <color rgb="FFF4E3EF"/>
      </right>
      <top/>
      <bottom/>
      <diagonal/>
    </border>
    <border>
      <left/>
      <right style="thin">
        <color rgb="FFCECCE7"/>
      </right>
      <top style="thin">
        <color rgb="FFF4E3EF"/>
      </top>
      <bottom style="thin">
        <color rgb="FFCECCE7"/>
      </bottom>
      <diagonal/>
    </border>
    <border>
      <left style="thin">
        <color rgb="FFCECCE7"/>
      </left>
      <right/>
      <top/>
      <bottom style="thin">
        <color rgb="FFF4E3EF"/>
      </bottom>
      <diagonal/>
    </border>
    <border>
      <left style="thin">
        <color indexed="31"/>
      </left>
      <right style="thin">
        <color indexed="31"/>
      </right>
      <top style="thin">
        <color indexed="31"/>
      </top>
      <bottom style="thin">
        <color indexed="31"/>
      </bottom>
      <diagonal/>
    </border>
    <border>
      <left style="thin">
        <color rgb="FFDDDDDD"/>
      </left>
      <right style="thin">
        <color rgb="FFDDDDDD"/>
      </right>
      <top style="thin">
        <color rgb="FFDDDDDD"/>
      </top>
      <bottom style="thin">
        <color rgb="FFDDDDDD"/>
      </bottom>
      <diagonal/>
    </border>
    <border>
      <left style="thin">
        <color rgb="FFEEE0EE"/>
      </left>
      <right style="thin">
        <color rgb="FFEEE0EE"/>
      </right>
      <top/>
      <bottom/>
      <diagonal/>
    </border>
  </borders>
  <cellStyleXfs count="3">
    <xf numFmtId="0" fontId="0" fillId="0" borderId="0"/>
    <xf numFmtId="0" fontId="4" fillId="0" borderId="0"/>
    <xf numFmtId="9" fontId="8" fillId="0" borderId="0" applyFont="0" applyFill="0" applyBorder="0" applyAlignment="0" applyProtection="0"/>
  </cellStyleXfs>
  <cellXfs count="168">
    <xf numFmtId="0" fontId="0" fillId="0" borderId="0" xfId="0"/>
    <xf numFmtId="0" fontId="1" fillId="0" borderId="3" xfId="0" applyFont="1" applyFill="1" applyBorder="1" applyAlignment="1">
      <alignment horizontal="left" wrapText="1"/>
    </xf>
    <xf numFmtId="0" fontId="1" fillId="0" borderId="4" xfId="0" applyFont="1" applyFill="1" applyBorder="1" applyAlignment="1">
      <alignment horizontal="center" vertical="top" wrapText="1"/>
    </xf>
    <xf numFmtId="0" fontId="1" fillId="0" borderId="7" xfId="0" applyFont="1" applyFill="1" applyBorder="1" applyAlignment="1">
      <alignment horizontal="left" vertical="top" wrapText="1"/>
    </xf>
    <xf numFmtId="0" fontId="1" fillId="0" borderId="10" xfId="0" applyFont="1" applyFill="1" applyBorder="1" applyAlignment="1">
      <alignment horizontal="left" vertical="top" wrapText="1"/>
    </xf>
    <xf numFmtId="0" fontId="2" fillId="3"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2" fillId="5" borderId="0" xfId="0" applyFont="1" applyFill="1" applyBorder="1" applyAlignment="1">
      <alignment horizontal="left" vertical="top" wrapText="1"/>
    </xf>
    <xf numFmtId="0" fontId="1" fillId="0" borderId="14" xfId="0" applyFont="1" applyFill="1" applyBorder="1" applyAlignment="1">
      <alignment horizontal="right" vertical="top" wrapText="1"/>
    </xf>
    <xf numFmtId="0" fontId="1" fillId="0" borderId="19" xfId="0" applyFont="1" applyFill="1" applyBorder="1" applyAlignment="1">
      <alignment horizontal="center" vertical="top" wrapText="1"/>
    </xf>
    <xf numFmtId="0" fontId="2" fillId="6" borderId="16"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10" borderId="0" xfId="0" applyFont="1" applyFill="1" applyBorder="1" applyAlignment="1">
      <alignment horizontal="center" vertical="center" wrapText="1"/>
    </xf>
    <xf numFmtId="164" fontId="1" fillId="4" borderId="0" xfId="0" applyNumberFormat="1" applyFont="1" applyFill="1" applyBorder="1" applyAlignment="1">
      <alignment horizontal="left" vertical="top" wrapText="1"/>
    </xf>
    <xf numFmtId="164" fontId="1" fillId="4" borderId="0" xfId="0" applyNumberFormat="1" applyFont="1" applyFill="1" applyBorder="1" applyAlignment="1">
      <alignment horizontal="right" vertical="top" wrapText="1"/>
    </xf>
    <xf numFmtId="0" fontId="3" fillId="10" borderId="0" xfId="0" applyFont="1" applyFill="1" applyBorder="1" applyAlignment="1">
      <alignment horizontal="left" vertical="top" wrapText="1"/>
    </xf>
    <xf numFmtId="0" fontId="1" fillId="0" borderId="0" xfId="0" applyFont="1" applyFill="1" applyBorder="1" applyAlignment="1">
      <alignment horizontal="left" vertical="top"/>
    </xf>
    <xf numFmtId="0" fontId="4" fillId="0" borderId="0" xfId="1"/>
    <xf numFmtId="0" fontId="2" fillId="2" borderId="22" xfId="1" applyFont="1" applyFill="1" applyBorder="1" applyAlignment="1">
      <alignment vertical="center" wrapText="1"/>
    </xf>
    <xf numFmtId="0" fontId="2" fillId="2" borderId="20" xfId="1" applyFont="1" applyFill="1" applyBorder="1" applyAlignment="1">
      <alignment vertical="center" wrapText="1"/>
    </xf>
    <xf numFmtId="0" fontId="2" fillId="2" borderId="23" xfId="1" applyFont="1" applyFill="1" applyBorder="1" applyAlignment="1">
      <alignment vertical="center" wrapText="1"/>
    </xf>
    <xf numFmtId="0" fontId="1" fillId="0" borderId="24" xfId="1" applyFont="1" applyFill="1" applyBorder="1" applyAlignment="1">
      <alignment horizontal="left" vertical="top" wrapText="1"/>
    </xf>
    <xf numFmtId="0" fontId="1" fillId="0" borderId="7" xfId="1" applyFont="1" applyFill="1" applyBorder="1" applyAlignment="1">
      <alignment horizontal="left" vertical="top" wrapText="1"/>
    </xf>
    <xf numFmtId="0" fontId="1" fillId="0" borderId="10" xfId="1" applyFont="1" applyFill="1" applyBorder="1" applyAlignment="1">
      <alignment horizontal="left" vertical="top" wrapText="1"/>
    </xf>
    <xf numFmtId="0" fontId="2" fillId="5" borderId="1" xfId="1" applyFont="1" applyFill="1" applyBorder="1" applyAlignment="1">
      <alignment horizontal="left" vertical="top" wrapText="1"/>
    </xf>
    <xf numFmtId="0" fontId="2" fillId="2" borderId="20" xfId="1" applyFont="1" applyFill="1" applyBorder="1" applyAlignment="1">
      <alignment vertical="top" wrapText="1"/>
    </xf>
    <xf numFmtId="0" fontId="2" fillId="2" borderId="20" xfId="1" applyFont="1" applyFill="1" applyBorder="1" applyAlignment="1">
      <alignment horizontal="left" vertical="center" wrapText="1"/>
    </xf>
    <xf numFmtId="0" fontId="1" fillId="0" borderId="14" xfId="1" applyFont="1" applyFill="1" applyBorder="1" applyAlignment="1">
      <alignment horizontal="left" vertical="top" wrapText="1" indent="4"/>
    </xf>
    <xf numFmtId="164" fontId="1" fillId="0" borderId="0" xfId="0" applyNumberFormat="1" applyFont="1" applyFill="1" applyBorder="1" applyAlignment="1">
      <alignment horizontal="right" vertical="top" wrapText="1"/>
    </xf>
    <xf numFmtId="0" fontId="5" fillId="0" borderId="0" xfId="0" applyFont="1"/>
    <xf numFmtId="164" fontId="6" fillId="8" borderId="0" xfId="0" applyNumberFormat="1" applyFont="1" applyFill="1" applyBorder="1" applyAlignment="1">
      <alignment horizontal="right"/>
    </xf>
    <xf numFmtId="0" fontId="1" fillId="4" borderId="0" xfId="0" applyFont="1" applyFill="1" applyBorder="1" applyAlignment="1">
      <alignment horizontal="right" vertical="top" wrapText="1"/>
    </xf>
    <xf numFmtId="0" fontId="1" fillId="0" borderId="5" xfId="0" applyFont="1" applyFill="1" applyBorder="1" applyAlignment="1">
      <alignment horizontal="center" vertical="top" wrapText="1"/>
    </xf>
    <xf numFmtId="0" fontId="5" fillId="0" borderId="0" xfId="0" applyFont="1" applyAlignment="1">
      <alignment vertical="center" readingOrder="1"/>
    </xf>
    <xf numFmtId="0" fontId="7" fillId="0" borderId="0" xfId="0" applyFont="1"/>
    <xf numFmtId="164" fontId="9" fillId="0" borderId="0" xfId="1" applyNumberFormat="1" applyFont="1"/>
    <xf numFmtId="0" fontId="2" fillId="2" borderId="0" xfId="0" applyFont="1" applyFill="1" applyBorder="1" applyAlignment="1">
      <alignment horizontal="center" vertical="top" wrapText="1"/>
    </xf>
    <xf numFmtId="0" fontId="1" fillId="0" borderId="14" xfId="0" applyFont="1" applyFill="1" applyBorder="1" applyAlignment="1">
      <alignment horizontal="center" vertical="top" wrapText="1"/>
    </xf>
    <xf numFmtId="2" fontId="1" fillId="2" borderId="0"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1" fillId="2" borderId="2" xfId="0" applyFont="1" applyFill="1" applyBorder="1" applyAlignment="1">
      <alignment horizontal="left" vertical="center" wrapText="1" indent="3"/>
    </xf>
    <xf numFmtId="0" fontId="1" fillId="2" borderId="0" xfId="0" applyFont="1" applyFill="1" applyBorder="1" applyAlignment="1">
      <alignment horizontal="left" vertical="center" wrapText="1" indent="3"/>
    </xf>
    <xf numFmtId="0" fontId="2" fillId="2" borderId="2"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1" xfId="0" applyFont="1" applyFill="1" applyBorder="1" applyAlignment="1">
      <alignment horizontal="left" vertical="top" wrapText="1" indent="3"/>
    </xf>
    <xf numFmtId="0" fontId="1" fillId="0" borderId="0" xfId="0" applyFont="1" applyFill="1" applyBorder="1" applyAlignment="1">
      <alignment horizontal="right" vertical="center" wrapText="1" indent="1"/>
    </xf>
    <xf numFmtId="0" fontId="1" fillId="0" borderId="13" xfId="0" applyFont="1" applyFill="1" applyBorder="1" applyAlignment="1">
      <alignment horizontal="right" vertical="center" wrapText="1" indent="1"/>
    </xf>
    <xf numFmtId="0" fontId="1" fillId="0" borderId="14" xfId="0" applyFont="1" applyFill="1" applyBorder="1" applyAlignment="1">
      <alignment horizontal="left" vertical="center" wrapText="1" indent="2"/>
    </xf>
    <xf numFmtId="0" fontId="1" fillId="0" borderId="14" xfId="0" applyFont="1" applyFill="1" applyBorder="1" applyAlignment="1">
      <alignment horizontal="center" vertical="top" wrapText="1"/>
    </xf>
    <xf numFmtId="0" fontId="2" fillId="11"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0" borderId="13" xfId="0" applyFont="1" applyFill="1" applyBorder="1" applyAlignment="1">
      <alignment horizontal="right" vertical="top" wrapText="1"/>
    </xf>
    <xf numFmtId="49" fontId="7" fillId="0" borderId="0" xfId="0" applyNumberFormat="1" applyFont="1"/>
    <xf numFmtId="0" fontId="10" fillId="7" borderId="0" xfId="0" applyFont="1" applyFill="1" applyAlignment="1">
      <alignment vertical="center"/>
    </xf>
    <xf numFmtId="49" fontId="6" fillId="7" borderId="26" xfId="0" applyNumberFormat="1" applyFont="1" applyFill="1" applyBorder="1" applyAlignment="1">
      <alignment horizontal="left"/>
    </xf>
    <xf numFmtId="0" fontId="9" fillId="7" borderId="0" xfId="0" applyFont="1" applyFill="1" applyAlignment="1">
      <alignment vertical="center"/>
    </xf>
    <xf numFmtId="164" fontId="5" fillId="0" borderId="0" xfId="0" applyNumberFormat="1" applyFont="1"/>
    <xf numFmtId="164" fontId="9" fillId="7" borderId="0" xfId="0" applyNumberFormat="1" applyFont="1" applyFill="1" applyAlignment="1">
      <alignment vertical="center"/>
    </xf>
    <xf numFmtId="0" fontId="9" fillId="7" borderId="0" xfId="0" applyFont="1" applyFill="1" applyBorder="1" applyAlignment="1">
      <alignment vertical="center"/>
    </xf>
    <xf numFmtId="164" fontId="5" fillId="0" borderId="0" xfId="0" applyNumberFormat="1" applyFont="1" applyFill="1"/>
    <xf numFmtId="0" fontId="5" fillId="0" borderId="0" xfId="0" applyFont="1" applyFill="1" applyBorder="1" applyAlignment="1">
      <alignment horizontal="left" wrapText="1"/>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164" fontId="1" fillId="0" borderId="8" xfId="0" applyNumberFormat="1" applyFont="1" applyFill="1" applyBorder="1" applyAlignment="1">
      <alignment horizontal="right" vertical="top" shrinkToFit="1"/>
    </xf>
    <xf numFmtId="166" fontId="1" fillId="0" borderId="8" xfId="0" applyNumberFormat="1" applyFont="1" applyFill="1" applyBorder="1" applyAlignment="1">
      <alignment horizontal="right" vertical="top" shrinkToFit="1"/>
    </xf>
    <xf numFmtId="166" fontId="1" fillId="0" borderId="9" xfId="0" applyNumberFormat="1" applyFont="1" applyFill="1" applyBorder="1" applyAlignment="1">
      <alignment horizontal="right" vertical="top" shrinkToFit="1"/>
    </xf>
    <xf numFmtId="164" fontId="1" fillId="0" borderId="11" xfId="0" applyNumberFormat="1" applyFont="1" applyFill="1" applyBorder="1" applyAlignment="1">
      <alignment horizontal="right" vertical="top" shrinkToFit="1"/>
    </xf>
    <xf numFmtId="164" fontId="2" fillId="3" borderId="2" xfId="0" applyNumberFormat="1" applyFont="1" applyFill="1" applyBorder="1" applyAlignment="1">
      <alignment horizontal="right" vertical="top" shrinkToFit="1"/>
    </xf>
    <xf numFmtId="166" fontId="2" fillId="3" borderId="1" xfId="0" applyNumberFormat="1" applyFont="1" applyFill="1" applyBorder="1" applyAlignment="1">
      <alignment horizontal="right" vertical="top" shrinkToFit="1"/>
    </xf>
    <xf numFmtId="166" fontId="2" fillId="3" borderId="0" xfId="0" applyNumberFormat="1" applyFont="1" applyFill="1" applyBorder="1" applyAlignment="1">
      <alignment horizontal="right" vertical="top" shrinkToFit="1"/>
    </xf>
    <xf numFmtId="49" fontId="6" fillId="9" borderId="27" xfId="0" applyNumberFormat="1" applyFont="1" applyFill="1" applyBorder="1" applyAlignment="1">
      <alignment horizontal="left"/>
    </xf>
    <xf numFmtId="0" fontId="5" fillId="0" borderId="0" xfId="0" applyFont="1" applyFill="1"/>
    <xf numFmtId="0" fontId="5" fillId="0" borderId="0" xfId="0" applyFont="1" applyFill="1" applyBorder="1" applyAlignment="1">
      <alignment horizontal="left" vertical="center" wrapText="1"/>
    </xf>
    <xf numFmtId="0" fontId="2" fillId="2" borderId="2" xfId="0" applyFont="1" applyFill="1" applyBorder="1" applyAlignment="1">
      <alignment horizontal="left" vertical="top" wrapText="1" indent="3"/>
    </xf>
    <xf numFmtId="0" fontId="1" fillId="0" borderId="14" xfId="0" applyFont="1" applyFill="1" applyBorder="1" applyAlignment="1">
      <alignment horizontal="left" vertical="top" wrapText="1" indent="2"/>
    </xf>
    <xf numFmtId="0" fontId="5" fillId="0" borderId="14" xfId="0" applyFont="1" applyFill="1" applyBorder="1" applyAlignment="1">
      <alignment horizontal="left" vertical="top" wrapText="1" indent="2"/>
    </xf>
    <xf numFmtId="1" fontId="2" fillId="2" borderId="17" xfId="0" applyNumberFormat="1" applyFont="1" applyFill="1" applyBorder="1" applyAlignment="1">
      <alignment horizontal="center" vertical="center" shrinkToFit="1"/>
    </xf>
    <xf numFmtId="3" fontId="11" fillId="2" borderId="0" xfId="0" applyNumberFormat="1" applyFont="1" applyFill="1" applyBorder="1" applyAlignment="1">
      <alignment vertical="center" shrinkToFit="1"/>
    </xf>
    <xf numFmtId="164" fontId="11" fillId="2" borderId="0" xfId="0" applyNumberFormat="1" applyFont="1" applyFill="1" applyBorder="1" applyAlignment="1">
      <alignment vertical="center" shrinkToFit="1"/>
    </xf>
    <xf numFmtId="1" fontId="11" fillId="2" borderId="0" xfId="0" applyNumberFormat="1" applyFont="1" applyFill="1" applyBorder="1" applyAlignment="1">
      <alignment vertical="center" shrinkToFit="1"/>
    </xf>
    <xf numFmtId="0" fontId="5" fillId="0" borderId="0" xfId="0" applyFont="1" applyAlignment="1">
      <alignment vertical="center"/>
    </xf>
    <xf numFmtId="0" fontId="5" fillId="0" borderId="0" xfId="0" applyFont="1" applyFill="1" applyAlignment="1">
      <alignment vertical="center"/>
    </xf>
    <xf numFmtId="3" fontId="1" fillId="0" borderId="13" xfId="0" applyNumberFormat="1" applyFont="1" applyFill="1" applyBorder="1" applyAlignment="1">
      <alignment vertical="center" shrinkToFit="1"/>
    </xf>
    <xf numFmtId="3" fontId="1" fillId="0" borderId="14" xfId="0" applyNumberFormat="1" applyFont="1" applyFill="1" applyBorder="1" applyAlignment="1">
      <alignment vertical="center" shrinkToFit="1"/>
    </xf>
    <xf numFmtId="164" fontId="1" fillId="0" borderId="14" xfId="0" applyNumberFormat="1" applyFont="1" applyFill="1" applyBorder="1" applyAlignment="1">
      <alignment vertical="center" shrinkToFit="1"/>
    </xf>
    <xf numFmtId="166" fontId="1" fillId="0" borderId="14" xfId="0" applyNumberFormat="1" applyFont="1" applyFill="1" applyBorder="1" applyAlignment="1">
      <alignment vertical="center" shrinkToFit="1"/>
    </xf>
    <xf numFmtId="1" fontId="1" fillId="4" borderId="1" xfId="0" applyNumberFormat="1" applyFont="1" applyFill="1" applyBorder="1" applyAlignment="1">
      <alignment vertical="center" shrinkToFit="1"/>
    </xf>
    <xf numFmtId="1" fontId="1" fillId="4" borderId="20" xfId="0" applyNumberFormat="1" applyFont="1" applyFill="1" applyBorder="1" applyAlignment="1">
      <alignment vertical="center" shrinkToFit="1"/>
    </xf>
    <xf numFmtId="164" fontId="1" fillId="4" borderId="20" xfId="0" applyNumberFormat="1" applyFont="1" applyFill="1" applyBorder="1" applyAlignment="1">
      <alignment vertical="center" shrinkToFit="1"/>
    </xf>
    <xf numFmtId="166" fontId="1" fillId="0" borderId="20" xfId="0" applyNumberFormat="1" applyFont="1" applyFill="1" applyBorder="1" applyAlignment="1">
      <alignment vertical="center" shrinkToFit="1"/>
    </xf>
    <xf numFmtId="164" fontId="1" fillId="0" borderId="20" xfId="0" applyNumberFormat="1" applyFont="1" applyFill="1" applyBorder="1" applyAlignment="1">
      <alignment vertical="center" shrinkToFit="1"/>
    </xf>
    <xf numFmtId="1" fontId="1" fillId="0" borderId="13" xfId="0" applyNumberFormat="1" applyFont="1" applyFill="1" applyBorder="1" applyAlignment="1">
      <alignment vertical="center" shrinkToFit="1"/>
    </xf>
    <xf numFmtId="1" fontId="1" fillId="0" borderId="14" xfId="0" applyNumberFormat="1" applyFont="1" applyFill="1" applyBorder="1" applyAlignment="1">
      <alignment vertical="center" shrinkToFit="1"/>
    </xf>
    <xf numFmtId="1" fontId="1" fillId="0" borderId="21" xfId="0" applyNumberFormat="1" applyFont="1" applyFill="1" applyBorder="1" applyAlignment="1">
      <alignment vertical="center" shrinkToFit="1"/>
    </xf>
    <xf numFmtId="1" fontId="1" fillId="0" borderId="28" xfId="0" applyNumberFormat="1" applyFont="1" applyFill="1" applyBorder="1" applyAlignment="1">
      <alignment vertical="center" shrinkToFit="1"/>
    </xf>
    <xf numFmtId="166" fontId="1" fillId="0" borderId="28" xfId="0" applyNumberFormat="1" applyFont="1" applyFill="1" applyBorder="1" applyAlignment="1">
      <alignment vertical="center" shrinkToFit="1"/>
    </xf>
    <xf numFmtId="164" fontId="1" fillId="0" borderId="28" xfId="0" applyNumberFormat="1" applyFont="1" applyFill="1" applyBorder="1" applyAlignment="1">
      <alignment vertical="center" shrinkToFit="1"/>
    </xf>
    <xf numFmtId="3" fontId="1" fillId="2" borderId="0" xfId="0" applyNumberFormat="1" applyFont="1" applyFill="1" applyBorder="1" applyAlignment="1">
      <alignment vertical="center" shrinkToFit="1"/>
    </xf>
    <xf numFmtId="164" fontId="1" fillId="2" borderId="0" xfId="0" applyNumberFormat="1" applyFont="1" applyFill="1" applyBorder="1" applyAlignment="1">
      <alignment vertical="center" shrinkToFit="1"/>
    </xf>
    <xf numFmtId="166" fontId="11" fillId="2" borderId="0" xfId="0" applyNumberFormat="1" applyFont="1" applyFill="1" applyBorder="1" applyAlignment="1">
      <alignment vertical="center" shrinkToFit="1"/>
    </xf>
    <xf numFmtId="3" fontId="1" fillId="4" borderId="1" xfId="0" applyNumberFormat="1" applyFont="1" applyFill="1" applyBorder="1" applyAlignment="1">
      <alignment vertical="center" shrinkToFit="1"/>
    </xf>
    <xf numFmtId="3" fontId="1" fillId="4" borderId="20" xfId="0" applyNumberFormat="1" applyFont="1" applyFill="1" applyBorder="1" applyAlignment="1">
      <alignment vertical="center" shrinkToFit="1"/>
    </xf>
    <xf numFmtId="3" fontId="2" fillId="5" borderId="0" xfId="0" applyNumberFormat="1" applyFont="1" applyFill="1" applyBorder="1" applyAlignment="1">
      <alignment vertical="center" shrinkToFit="1"/>
    </xf>
    <xf numFmtId="164" fontId="2" fillId="5" borderId="0" xfId="0" applyNumberFormat="1" applyFont="1" applyFill="1" applyBorder="1" applyAlignment="1">
      <alignment vertical="center" shrinkToFit="1"/>
    </xf>
    <xf numFmtId="166" fontId="2" fillId="5" borderId="0" xfId="0" applyNumberFormat="1" applyFont="1" applyFill="1" applyBorder="1" applyAlignment="1">
      <alignment vertical="center" shrinkToFit="1"/>
    </xf>
    <xf numFmtId="1" fontId="6" fillId="9" borderId="27" xfId="0" applyNumberFormat="1" applyFont="1" applyFill="1" applyBorder="1" applyAlignment="1">
      <alignment horizontal="right"/>
    </xf>
    <xf numFmtId="1" fontId="6" fillId="0" borderId="27" xfId="0" applyNumberFormat="1" applyFont="1" applyFill="1" applyBorder="1" applyAlignment="1">
      <alignment horizontal="right"/>
    </xf>
    <xf numFmtId="165" fontId="6" fillId="0" borderId="27" xfId="0" applyNumberFormat="1" applyFont="1" applyFill="1" applyBorder="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5" fillId="0" borderId="0" xfId="0" applyFont="1" applyAlignment="1"/>
    <xf numFmtId="0" fontId="5" fillId="10" borderId="0" xfId="0" applyFont="1" applyFill="1" applyBorder="1" applyAlignment="1">
      <alignment horizontal="center" vertical="center" wrapText="1"/>
    </xf>
    <xf numFmtId="164" fontId="6" fillId="8" borderId="0" xfId="0" applyNumberFormat="1" applyFont="1" applyFill="1" applyBorder="1" applyAlignment="1">
      <alignment horizontal="left"/>
    </xf>
    <xf numFmtId="0" fontId="5" fillId="11" borderId="0" xfId="0" applyFont="1" applyFill="1"/>
    <xf numFmtId="49" fontId="6" fillId="12" borderId="27" xfId="0" applyNumberFormat="1" applyFont="1" applyFill="1" applyBorder="1" applyAlignment="1">
      <alignment horizontal="left"/>
    </xf>
    <xf numFmtId="164" fontId="1" fillId="2" borderId="0" xfId="0" applyNumberFormat="1" applyFont="1" applyFill="1" applyBorder="1" applyAlignment="1">
      <alignment horizontal="right" vertical="center" shrinkToFit="1"/>
    </xf>
    <xf numFmtId="165" fontId="6" fillId="9" borderId="27" xfId="0" applyNumberFormat="1" applyFont="1" applyFill="1" applyBorder="1" applyAlignment="1">
      <alignment horizontal="right"/>
    </xf>
    <xf numFmtId="0" fontId="5" fillId="0" borderId="0" xfId="0" applyFont="1" applyAlignment="1">
      <alignment horizontal="right" vertical="center"/>
    </xf>
    <xf numFmtId="164" fontId="1" fillId="0" borderId="14" xfId="0" applyNumberFormat="1" applyFont="1" applyFill="1" applyBorder="1" applyAlignment="1">
      <alignment horizontal="right" vertical="center" shrinkToFit="1"/>
    </xf>
    <xf numFmtId="164" fontId="1" fillId="0" borderId="19" xfId="0" applyNumberFormat="1" applyFont="1" applyFill="1" applyBorder="1" applyAlignment="1">
      <alignment horizontal="right" vertical="center" shrinkToFit="1"/>
    </xf>
    <xf numFmtId="164" fontId="1" fillId="4" borderId="0" xfId="0" applyNumberFormat="1" applyFont="1" applyFill="1" applyBorder="1" applyAlignment="1">
      <alignment horizontal="right" vertical="center" shrinkToFit="1"/>
    </xf>
    <xf numFmtId="1" fontId="5" fillId="0" borderId="0" xfId="0" applyNumberFormat="1" applyFont="1"/>
    <xf numFmtId="164" fontId="2" fillId="6" borderId="16" xfId="0" applyNumberFormat="1" applyFont="1" applyFill="1" applyBorder="1" applyAlignment="1">
      <alignment horizontal="right" vertical="center" shrinkToFit="1"/>
    </xf>
    <xf numFmtId="0" fontId="2" fillId="3" borderId="18" xfId="0" applyFont="1" applyFill="1" applyBorder="1" applyAlignment="1">
      <alignment horizontal="left" vertical="top" wrapText="1"/>
    </xf>
    <xf numFmtId="3" fontId="2" fillId="3" borderId="18" xfId="0" applyNumberFormat="1" applyFont="1" applyFill="1" applyBorder="1" applyAlignment="1">
      <alignment horizontal="right" vertical="center" shrinkToFit="1"/>
    </xf>
    <xf numFmtId="164" fontId="2" fillId="3" borderId="18" xfId="0" applyNumberFormat="1" applyFont="1" applyFill="1" applyBorder="1" applyAlignment="1">
      <alignment horizontal="right" vertical="center" shrinkToFit="1"/>
    </xf>
    <xf numFmtId="0" fontId="12" fillId="0" borderId="0" xfId="1" applyFont="1"/>
    <xf numFmtId="0" fontId="9" fillId="0" borderId="0" xfId="1" applyFont="1"/>
    <xf numFmtId="0" fontId="13" fillId="0" borderId="0" xfId="1" applyFont="1"/>
    <xf numFmtId="0" fontId="9" fillId="0" borderId="0" xfId="1" applyFont="1" applyAlignment="1">
      <alignment horizontal="center"/>
    </xf>
    <xf numFmtId="0" fontId="5" fillId="0" borderId="0" xfId="0" applyFont="1" applyAlignment="1">
      <alignment horizontal="left"/>
    </xf>
    <xf numFmtId="0" fontId="5" fillId="0" borderId="0" xfId="0" applyNumberFormat="1" applyFont="1"/>
    <xf numFmtId="0" fontId="9" fillId="2" borderId="20" xfId="1" applyFont="1" applyFill="1" applyBorder="1" applyAlignment="1">
      <alignment vertical="center" wrapText="1"/>
    </xf>
    <xf numFmtId="3" fontId="1" fillId="0" borderId="5" xfId="1" applyNumberFormat="1" applyFont="1" applyFill="1" applyBorder="1" applyAlignment="1">
      <alignment horizontal="right" vertical="top" shrinkToFit="1"/>
    </xf>
    <xf numFmtId="164" fontId="1" fillId="0" borderId="5" xfId="1" applyNumberFormat="1" applyFont="1" applyFill="1" applyBorder="1" applyAlignment="1">
      <alignment horizontal="right" vertical="top" shrinkToFit="1"/>
    </xf>
    <xf numFmtId="164" fontId="1" fillId="0" borderId="6" xfId="1" applyNumberFormat="1" applyFont="1" applyFill="1" applyBorder="1" applyAlignment="1">
      <alignment horizontal="right" vertical="top" shrinkToFit="1"/>
    </xf>
    <xf numFmtId="1" fontId="1" fillId="0" borderId="8" xfId="1" applyNumberFormat="1" applyFont="1" applyFill="1" applyBorder="1" applyAlignment="1">
      <alignment horizontal="right" vertical="top" shrinkToFit="1"/>
    </xf>
    <xf numFmtId="164" fontId="1" fillId="0" borderId="8" xfId="1" applyNumberFormat="1" applyFont="1" applyFill="1" applyBorder="1" applyAlignment="1">
      <alignment horizontal="right" vertical="top" shrinkToFit="1"/>
    </xf>
    <xf numFmtId="164" fontId="1" fillId="0" borderId="9" xfId="1" applyNumberFormat="1" applyFont="1" applyFill="1" applyBorder="1" applyAlignment="1">
      <alignment horizontal="right" vertical="top" shrinkToFit="1"/>
    </xf>
    <xf numFmtId="1" fontId="1" fillId="0" borderId="11" xfId="1" applyNumberFormat="1" applyFont="1" applyFill="1" applyBorder="1" applyAlignment="1">
      <alignment horizontal="right" vertical="top" shrinkToFit="1"/>
    </xf>
    <xf numFmtId="164" fontId="1" fillId="0" borderId="11" xfId="1" applyNumberFormat="1" applyFont="1" applyFill="1" applyBorder="1" applyAlignment="1">
      <alignment horizontal="right" vertical="top" shrinkToFit="1"/>
    </xf>
    <xf numFmtId="164" fontId="1" fillId="0" borderId="12" xfId="1" applyNumberFormat="1" applyFont="1" applyFill="1" applyBorder="1" applyAlignment="1">
      <alignment horizontal="right" vertical="top" shrinkToFit="1"/>
    </xf>
    <xf numFmtId="3" fontId="2" fillId="5" borderId="20" xfId="1" applyNumberFormat="1" applyFont="1" applyFill="1" applyBorder="1" applyAlignment="1">
      <alignment horizontal="right" vertical="top" shrinkToFit="1"/>
    </xf>
    <xf numFmtId="164" fontId="2" fillId="5" borderId="20" xfId="1" applyNumberFormat="1" applyFont="1" applyFill="1" applyBorder="1" applyAlignment="1">
      <alignment horizontal="right" vertical="top" shrinkToFit="1"/>
    </xf>
    <xf numFmtId="0" fontId="15" fillId="0" borderId="0" xfId="1" applyFont="1"/>
    <xf numFmtId="1" fontId="1" fillId="0" borderId="5" xfId="1" applyNumberFormat="1" applyFont="1" applyFill="1" applyBorder="1" applyAlignment="1">
      <alignment horizontal="right" vertical="top" shrinkToFit="1"/>
    </xf>
    <xf numFmtId="1" fontId="2" fillId="5" borderId="20" xfId="1" applyNumberFormat="1" applyFont="1" applyFill="1" applyBorder="1" applyAlignment="1">
      <alignment horizontal="right" vertical="top" shrinkToFit="1"/>
    </xf>
    <xf numFmtId="0" fontId="16" fillId="0" borderId="0" xfId="1" applyFont="1"/>
    <xf numFmtId="0" fontId="9" fillId="2" borderId="2" xfId="1" applyFont="1" applyFill="1" applyBorder="1" applyAlignment="1">
      <alignment vertical="top" wrapText="1"/>
    </xf>
    <xf numFmtId="1" fontId="1" fillId="0" borderId="14" xfId="1" applyNumberFormat="1" applyFont="1" applyFill="1" applyBorder="1" applyAlignment="1">
      <alignment vertical="center" shrinkToFit="1"/>
    </xf>
    <xf numFmtId="164" fontId="1" fillId="0" borderId="25" xfId="1" applyNumberFormat="1" applyFont="1" applyFill="1" applyBorder="1" applyAlignment="1">
      <alignment vertical="center" shrinkToFit="1"/>
    </xf>
    <xf numFmtId="0" fontId="9" fillId="2" borderId="2" xfId="1" applyFont="1" applyFill="1" applyBorder="1" applyAlignment="1">
      <alignment horizontal="left" vertical="center" wrapText="1"/>
    </xf>
    <xf numFmtId="1" fontId="1" fillId="0" borderId="14" xfId="1" applyNumberFormat="1" applyFont="1" applyFill="1" applyBorder="1" applyAlignment="1">
      <alignment horizontal="right" vertical="top" shrinkToFit="1"/>
    </xf>
    <xf numFmtId="0" fontId="1" fillId="0" borderId="0" xfId="1" applyFont="1" applyFill="1" applyBorder="1" applyAlignment="1">
      <alignment horizontal="left" vertical="top" wrapText="1" indent="4"/>
    </xf>
    <xf numFmtId="164" fontId="1" fillId="0" borderId="0" xfId="1" applyNumberFormat="1" applyFont="1" applyFill="1" applyBorder="1" applyAlignment="1">
      <alignment horizontal="center" vertical="top" shrinkToFit="1"/>
    </xf>
    <xf numFmtId="9" fontId="16" fillId="0" borderId="0" xfId="2" applyFont="1"/>
    <xf numFmtId="0" fontId="9" fillId="0" borderId="0" xfId="1" applyFont="1" applyFill="1" applyBorder="1"/>
    <xf numFmtId="0" fontId="9" fillId="0" borderId="0" xfId="1" applyFont="1" applyFill="1"/>
    <xf numFmtId="0" fontId="9" fillId="0" borderId="0" xfId="1" applyFont="1" applyAlignment="1">
      <alignment horizontal="center" vertical="center"/>
    </xf>
    <xf numFmtId="0" fontId="9" fillId="0" borderId="0" xfId="1" applyFont="1" applyAlignment="1">
      <alignment horizontal="center" vertical="center"/>
    </xf>
    <xf numFmtId="0" fontId="5" fillId="0" borderId="0" xfId="0" applyFont="1" applyAlignment="1">
      <alignment horizontal="center"/>
    </xf>
    <xf numFmtId="0" fontId="5" fillId="0" borderId="0" xfId="0" applyFont="1" applyAlignment="1">
      <alignment horizontal="center"/>
    </xf>
    <xf numFmtId="0" fontId="9" fillId="0" borderId="0" xfId="1" applyFont="1" applyAlignment="1">
      <alignment horizontal="center"/>
    </xf>
    <xf numFmtId="0" fontId="6" fillId="9" borderId="0" xfId="0" applyFont="1" applyFill="1" applyAlignment="1">
      <alignment horizontal="left"/>
    </xf>
  </cellXfs>
  <cellStyles count="3">
    <cellStyle name="Normal" xfId="0" builtinId="0"/>
    <cellStyle name="Normal 2" xfId="1" xr:uid="{B2F7073B-281D-4588-BCEC-90D504E7E217}"/>
    <cellStyle name="Pourcentage" xfId="2" builtinId="5"/>
  </cellStyles>
  <dxfs count="0"/>
  <tableStyles count="0" defaultTableStyle="TableStyleMedium2" defaultPivotStyle="PivotStyleLight16"/>
  <colors>
    <mruColors>
      <color rgb="FFA5A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331178751909734E-2"/>
          <c:y val="5.185185185185185E-2"/>
          <c:w val="0.90166882124809022"/>
          <c:h val="0.68259171770195393"/>
        </c:manualLayout>
      </c:layout>
      <c:lineChart>
        <c:grouping val="standard"/>
        <c:varyColors val="0"/>
        <c:ser>
          <c:idx val="0"/>
          <c:order val="0"/>
          <c:tx>
            <c:strRef>
              <c:f>Graph1!$J$6</c:f>
              <c:strCache>
                <c:ptCount val="1"/>
                <c:pt idx="0">
                  <c:v>BAC PROFESSIONNEL</c:v>
                </c:pt>
              </c:strCache>
            </c:strRef>
          </c:tx>
          <c:spPr>
            <a:ln w="28575" cap="rnd">
              <a:solidFill>
                <a:schemeClr val="accent1"/>
              </a:solidFill>
              <a:round/>
            </a:ln>
            <a:effectLst/>
          </c:spPr>
          <c:marker>
            <c:symbol val="none"/>
          </c:marker>
          <c:cat>
            <c:strRef>
              <c:f>Graph1!$K$3:$T$3</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Graph1!$K$6:$T$6</c:f>
              <c:numCache>
                <c:formatCode>General</c:formatCode>
                <c:ptCount val="10"/>
                <c:pt idx="0">
                  <c:v>82.7</c:v>
                </c:pt>
                <c:pt idx="1">
                  <c:v>80.5</c:v>
                </c:pt>
                <c:pt idx="2">
                  <c:v>83.8</c:v>
                </c:pt>
                <c:pt idx="3">
                  <c:v>81.900000000000006</c:v>
                </c:pt>
                <c:pt idx="4">
                  <c:v>83.5</c:v>
                </c:pt>
                <c:pt idx="5">
                  <c:v>82.6</c:v>
                </c:pt>
                <c:pt idx="6">
                  <c:v>90.1</c:v>
                </c:pt>
                <c:pt idx="7">
                  <c:v>86.1</c:v>
                </c:pt>
                <c:pt idx="8" formatCode="0.0">
                  <c:v>82.333637192342763</c:v>
                </c:pt>
                <c:pt idx="9">
                  <c:v>82.8</c:v>
                </c:pt>
              </c:numCache>
            </c:numRef>
          </c:val>
          <c:smooth val="0"/>
          <c:extLst>
            <c:ext xmlns:c16="http://schemas.microsoft.com/office/drawing/2014/chart" uri="{C3380CC4-5D6E-409C-BE32-E72D297353CC}">
              <c16:uniqueId val="{00000002-772B-4024-9A67-853CC91CFB4E}"/>
            </c:ext>
          </c:extLst>
        </c:ser>
        <c:ser>
          <c:idx val="1"/>
          <c:order val="1"/>
          <c:tx>
            <c:strRef>
              <c:f>Graph1!$J$4</c:f>
              <c:strCache>
                <c:ptCount val="1"/>
                <c:pt idx="0">
                  <c:v>BAC GENERAL</c:v>
                </c:pt>
              </c:strCache>
            </c:strRef>
          </c:tx>
          <c:spPr>
            <a:ln w="28575" cap="rnd">
              <a:solidFill>
                <a:schemeClr val="accent2"/>
              </a:solidFill>
              <a:round/>
            </a:ln>
            <a:effectLst/>
          </c:spPr>
          <c:marker>
            <c:symbol val="none"/>
          </c:marker>
          <c:cat>
            <c:strRef>
              <c:f>Graph1!$K$3:$T$3</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Graph1!$K$4:$T$4</c:f>
              <c:numCache>
                <c:formatCode>General</c:formatCode>
                <c:ptCount val="10"/>
                <c:pt idx="0">
                  <c:v>92.8</c:v>
                </c:pt>
                <c:pt idx="1">
                  <c:v>93.5</c:v>
                </c:pt>
                <c:pt idx="2">
                  <c:v>93.2</c:v>
                </c:pt>
                <c:pt idx="3">
                  <c:v>93.1</c:v>
                </c:pt>
                <c:pt idx="4">
                  <c:v>92.7</c:v>
                </c:pt>
                <c:pt idx="5">
                  <c:v>92.9</c:v>
                </c:pt>
                <c:pt idx="6">
                  <c:v>97.6</c:v>
                </c:pt>
                <c:pt idx="7">
                  <c:v>97.7</c:v>
                </c:pt>
                <c:pt idx="8" formatCode="0.0">
                  <c:v>96.37747336377474</c:v>
                </c:pt>
                <c:pt idx="9">
                  <c:v>96</c:v>
                </c:pt>
              </c:numCache>
            </c:numRef>
          </c:val>
          <c:smooth val="0"/>
          <c:extLst>
            <c:ext xmlns:c16="http://schemas.microsoft.com/office/drawing/2014/chart" uri="{C3380CC4-5D6E-409C-BE32-E72D297353CC}">
              <c16:uniqueId val="{00000004-772B-4024-9A67-853CC91CFB4E}"/>
            </c:ext>
          </c:extLst>
        </c:ser>
        <c:ser>
          <c:idx val="2"/>
          <c:order val="2"/>
          <c:tx>
            <c:strRef>
              <c:f>[1]tab1!$N$5</c:f>
              <c:strCache>
                <c:ptCount val="1"/>
                <c:pt idx="0">
                  <c:v>BAC TECHNOLOGIQUE</c:v>
                </c:pt>
              </c:strCache>
            </c:strRef>
          </c:tx>
          <c:spPr>
            <a:ln w="28575" cap="rnd">
              <a:solidFill>
                <a:schemeClr val="accent3"/>
              </a:solidFill>
              <a:round/>
            </a:ln>
            <a:effectLst/>
          </c:spPr>
          <c:marker>
            <c:symbol val="none"/>
          </c:marker>
          <c:cat>
            <c:strRef>
              <c:f>Graph1!$K$3:$T$3</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[1]tab1!$O$5:$X$5</c:f>
              <c:numCache>
                <c:formatCode>General</c:formatCode>
                <c:ptCount val="10"/>
                <c:pt idx="0">
                  <c:v>88.8</c:v>
                </c:pt>
                <c:pt idx="1">
                  <c:v>91.7</c:v>
                </c:pt>
                <c:pt idx="2">
                  <c:v>93</c:v>
                </c:pt>
                <c:pt idx="3">
                  <c:v>90.9</c:v>
                </c:pt>
                <c:pt idx="4">
                  <c:v>90.9</c:v>
                </c:pt>
                <c:pt idx="5">
                  <c:v>89.5</c:v>
                </c:pt>
                <c:pt idx="6">
                  <c:v>89.9</c:v>
                </c:pt>
                <c:pt idx="7">
                  <c:v>94.8</c:v>
                </c:pt>
                <c:pt idx="8">
                  <c:v>93.4</c:v>
                </c:pt>
                <c:pt idx="9">
                  <c:v>90.198123044838368</c:v>
                </c:pt>
              </c:numCache>
            </c:numRef>
          </c:val>
          <c:smooth val="0"/>
          <c:extLst>
            <c:ext xmlns:c16="http://schemas.microsoft.com/office/drawing/2014/chart" uri="{C3380CC4-5D6E-409C-BE32-E72D297353CC}">
              <c16:uniqueId val="{00000006-772B-4024-9A67-853CC91CFB4E}"/>
            </c:ext>
          </c:extLst>
        </c:ser>
        <c:ser>
          <c:idx val="3"/>
          <c:order val="3"/>
          <c:tx>
            <c:strRef>
              <c:f>Graph1!$J$8</c:f>
              <c:strCache>
                <c:ptCount val="1"/>
                <c:pt idx="0">
                  <c:v>TOUS BACS CONFONDUS France</c:v>
                </c:pt>
              </c:strCache>
            </c:strRef>
          </c:tx>
          <c:spPr>
            <a:ln w="28575" cap="rnd">
              <a:solidFill>
                <a:schemeClr val="accent4"/>
              </a:solidFill>
              <a:round/>
            </a:ln>
            <a:effectLst/>
          </c:spPr>
          <c:marker>
            <c:symbol val="none"/>
          </c:marker>
          <c:cat>
            <c:strRef>
              <c:f>Graph1!$K$3:$T$3</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Graph1!$K$8:$T$8</c:f>
              <c:numCache>
                <c:formatCode>General</c:formatCode>
                <c:ptCount val="10"/>
                <c:pt idx="0" formatCode="0.0">
                  <c:v>88</c:v>
                </c:pt>
                <c:pt idx="1">
                  <c:v>87.9</c:v>
                </c:pt>
                <c:pt idx="2">
                  <c:v>88.5</c:v>
                </c:pt>
                <c:pt idx="3">
                  <c:v>87.8</c:v>
                </c:pt>
                <c:pt idx="4">
                  <c:v>88.2</c:v>
                </c:pt>
                <c:pt idx="5" formatCode="0.0">
                  <c:v>88</c:v>
                </c:pt>
                <c:pt idx="6" formatCode="0.0">
                  <c:v>95</c:v>
                </c:pt>
                <c:pt idx="7">
                  <c:v>93.7</c:v>
                </c:pt>
                <c:pt idx="8" formatCode="0.0">
                  <c:v>91</c:v>
                </c:pt>
                <c:pt idx="9">
                  <c:v>90.7</c:v>
                </c:pt>
              </c:numCache>
            </c:numRef>
          </c:val>
          <c:smooth val="0"/>
          <c:extLst>
            <c:ext xmlns:c16="http://schemas.microsoft.com/office/drawing/2014/chart" uri="{C3380CC4-5D6E-409C-BE32-E72D297353CC}">
              <c16:uniqueId val="{00000007-772B-4024-9A67-853CC91CFB4E}"/>
            </c:ext>
          </c:extLst>
        </c:ser>
        <c:ser>
          <c:idx val="4"/>
          <c:order val="4"/>
          <c:tx>
            <c:strRef>
              <c:f>Graph1!$J$7</c:f>
              <c:strCache>
                <c:ptCount val="1"/>
                <c:pt idx="0">
                  <c:v>TOUS BACS CONFONDUS</c:v>
                </c:pt>
              </c:strCache>
            </c:strRef>
          </c:tx>
          <c:spPr>
            <a:ln w="28575" cap="rnd">
              <a:solidFill>
                <a:schemeClr val="accent5"/>
              </a:solidFill>
              <a:round/>
            </a:ln>
            <a:effectLst/>
          </c:spPr>
          <c:marker>
            <c:symbol val="none"/>
          </c:marker>
          <c:cat>
            <c:strRef>
              <c:f>Graph1!$K$3:$T$3</c:f>
              <c:strCache>
                <c:ptCount val="10"/>
                <c:pt idx="0">
                  <c:v>2014</c:v>
                </c:pt>
                <c:pt idx="1">
                  <c:v>2015</c:v>
                </c:pt>
                <c:pt idx="2">
                  <c:v>2016</c:v>
                </c:pt>
                <c:pt idx="3">
                  <c:v>2017</c:v>
                </c:pt>
                <c:pt idx="4">
                  <c:v>2018</c:v>
                </c:pt>
                <c:pt idx="5">
                  <c:v>2019</c:v>
                </c:pt>
                <c:pt idx="6">
                  <c:v>2020</c:v>
                </c:pt>
                <c:pt idx="7">
                  <c:v>2021</c:v>
                </c:pt>
                <c:pt idx="8">
                  <c:v>2022</c:v>
                </c:pt>
                <c:pt idx="9">
                  <c:v>2023</c:v>
                </c:pt>
              </c:strCache>
            </c:strRef>
          </c:cat>
          <c:val>
            <c:numRef>
              <c:f>Graph1!$K$7:$T$7</c:f>
              <c:numCache>
                <c:formatCode>General</c:formatCode>
                <c:ptCount val="10"/>
                <c:pt idx="0">
                  <c:v>89.3</c:v>
                </c:pt>
                <c:pt idx="1">
                  <c:v>89.4</c:v>
                </c:pt>
                <c:pt idx="2">
                  <c:v>89.9</c:v>
                </c:pt>
                <c:pt idx="3">
                  <c:v>89.3</c:v>
                </c:pt>
                <c:pt idx="4">
                  <c:v>89.4</c:v>
                </c:pt>
                <c:pt idx="5">
                  <c:v>89.4</c:v>
                </c:pt>
                <c:pt idx="6" formatCode="0.0">
                  <c:v>95</c:v>
                </c:pt>
                <c:pt idx="7">
                  <c:v>93.5</c:v>
                </c:pt>
                <c:pt idx="8">
                  <c:v>91.1</c:v>
                </c:pt>
                <c:pt idx="9">
                  <c:v>91.2</c:v>
                </c:pt>
              </c:numCache>
            </c:numRef>
          </c:val>
          <c:smooth val="0"/>
          <c:extLst>
            <c:ext xmlns:c16="http://schemas.microsoft.com/office/drawing/2014/chart" uri="{C3380CC4-5D6E-409C-BE32-E72D297353CC}">
              <c16:uniqueId val="{00000009-772B-4024-9A67-853CC91CFB4E}"/>
            </c:ext>
          </c:extLst>
        </c:ser>
        <c:dLbls>
          <c:showLegendKey val="0"/>
          <c:showVal val="0"/>
          <c:showCatName val="0"/>
          <c:showSerName val="0"/>
          <c:showPercent val="0"/>
          <c:showBubbleSize val="0"/>
        </c:dLbls>
        <c:smooth val="0"/>
        <c:axId val="1318638208"/>
        <c:axId val="1229240480"/>
      </c:lineChart>
      <c:catAx>
        <c:axId val="13186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229240480"/>
        <c:crosses val="autoZero"/>
        <c:auto val="1"/>
        <c:lblAlgn val="ctr"/>
        <c:lblOffset val="100"/>
        <c:noMultiLvlLbl val="0"/>
      </c:catAx>
      <c:valAx>
        <c:axId val="1229240480"/>
        <c:scaling>
          <c:orientation val="minMax"/>
          <c:max val="100"/>
          <c:min val="7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318638208"/>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800"/>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Graph2!$J$6</c:f>
              <c:strCache>
                <c:ptCount val="1"/>
                <c:pt idx="0">
                  <c:v>très favorisée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Graph2!$K$6:$R$6</c15:sqref>
                  </c15:fullRef>
                </c:ext>
              </c:extLst>
              <c:f>Graph2!$K$6:$P$6</c:f>
              <c:numCache>
                <c:formatCode>0.0</c:formatCode>
                <c:ptCount val="6"/>
                <c:pt idx="0">
                  <c:v>35.200000000000003</c:v>
                </c:pt>
                <c:pt idx="1">
                  <c:v>37.1</c:v>
                </c:pt>
                <c:pt idx="2">
                  <c:v>16.5</c:v>
                </c:pt>
                <c:pt idx="3">
                  <c:v>17.3</c:v>
                </c:pt>
                <c:pt idx="4">
                  <c:v>6.4</c:v>
                </c:pt>
                <c:pt idx="5">
                  <c:v>7.8</c:v>
                </c:pt>
              </c:numCache>
            </c:numRef>
          </c:val>
          <c:extLst>
            <c:ext xmlns:c16="http://schemas.microsoft.com/office/drawing/2014/chart" uri="{C3380CC4-5D6E-409C-BE32-E72D297353CC}">
              <c16:uniqueId val="{00000000-29CB-4ADE-88E4-B6CC448FCEF8}"/>
            </c:ext>
          </c:extLst>
        </c:ser>
        <c:ser>
          <c:idx val="1"/>
          <c:order val="1"/>
          <c:tx>
            <c:strRef>
              <c:f>Graph2!$J$7</c:f>
              <c:strCache>
                <c:ptCount val="1"/>
                <c:pt idx="0">
                  <c:v>Favorisée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Graph2!$K$7:$R$7</c15:sqref>
                  </c15:fullRef>
                </c:ext>
              </c:extLst>
              <c:f>Graph2!$K$7:$P$7</c:f>
              <c:numCache>
                <c:formatCode>0.0</c:formatCode>
                <c:ptCount val="6"/>
                <c:pt idx="0">
                  <c:v>17.100000000000001</c:v>
                </c:pt>
                <c:pt idx="1">
                  <c:v>14.9</c:v>
                </c:pt>
                <c:pt idx="2">
                  <c:v>15.5</c:v>
                </c:pt>
                <c:pt idx="3">
                  <c:v>14.4</c:v>
                </c:pt>
                <c:pt idx="4">
                  <c:v>11.2</c:v>
                </c:pt>
                <c:pt idx="5">
                  <c:v>10.199999999999999</c:v>
                </c:pt>
              </c:numCache>
            </c:numRef>
          </c:val>
          <c:extLst>
            <c:ext xmlns:c16="http://schemas.microsoft.com/office/drawing/2014/chart" uri="{C3380CC4-5D6E-409C-BE32-E72D297353CC}">
              <c16:uniqueId val="{00000001-29CB-4ADE-88E4-B6CC448FCEF8}"/>
            </c:ext>
          </c:extLst>
        </c:ser>
        <c:ser>
          <c:idx val="2"/>
          <c:order val="2"/>
          <c:tx>
            <c:strRef>
              <c:f>Graph2!$J$8</c:f>
              <c:strCache>
                <c:ptCount val="1"/>
                <c:pt idx="0">
                  <c:v>Moyenne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Graph2!$K$8:$R$8</c15:sqref>
                  </c15:fullRef>
                </c:ext>
              </c:extLst>
              <c:f>Graph2!$K$8:$P$8</c:f>
              <c:numCache>
                <c:formatCode>0.0</c:formatCode>
                <c:ptCount val="6"/>
                <c:pt idx="0">
                  <c:v>24.2</c:v>
                </c:pt>
                <c:pt idx="1">
                  <c:v>27</c:v>
                </c:pt>
                <c:pt idx="2">
                  <c:v>28.5</c:v>
                </c:pt>
                <c:pt idx="3">
                  <c:v>31.6</c:v>
                </c:pt>
                <c:pt idx="4">
                  <c:v>27</c:v>
                </c:pt>
                <c:pt idx="5">
                  <c:v>26.8</c:v>
                </c:pt>
              </c:numCache>
            </c:numRef>
          </c:val>
          <c:extLst>
            <c:ext xmlns:c16="http://schemas.microsoft.com/office/drawing/2014/chart" uri="{C3380CC4-5D6E-409C-BE32-E72D297353CC}">
              <c16:uniqueId val="{00000002-29CB-4ADE-88E4-B6CC448FCEF8}"/>
            </c:ext>
          </c:extLst>
        </c:ser>
        <c:ser>
          <c:idx val="3"/>
          <c:order val="3"/>
          <c:tx>
            <c:strRef>
              <c:f>Graph2!$J$9</c:f>
              <c:strCache>
                <c:ptCount val="1"/>
                <c:pt idx="0">
                  <c:v>Défavorisée</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Graph2!$K$9:$R$9</c15:sqref>
                  </c15:fullRef>
                </c:ext>
              </c:extLst>
              <c:f>Graph2!$K$9:$P$9</c:f>
              <c:numCache>
                <c:formatCode>0.0</c:formatCode>
                <c:ptCount val="6"/>
                <c:pt idx="0">
                  <c:v>21.7</c:v>
                </c:pt>
                <c:pt idx="1">
                  <c:v>17.600000000000001</c:v>
                </c:pt>
                <c:pt idx="2">
                  <c:v>34.5</c:v>
                </c:pt>
                <c:pt idx="3">
                  <c:v>28.3</c:v>
                </c:pt>
                <c:pt idx="4">
                  <c:v>41.5</c:v>
                </c:pt>
                <c:pt idx="5">
                  <c:v>32.700000000000003</c:v>
                </c:pt>
              </c:numCache>
            </c:numRef>
          </c:val>
          <c:extLst>
            <c:ext xmlns:c16="http://schemas.microsoft.com/office/drawing/2014/chart" uri="{C3380CC4-5D6E-409C-BE32-E72D297353CC}">
              <c16:uniqueId val="{00000003-29CB-4ADE-88E4-B6CC448FCEF8}"/>
            </c:ext>
          </c:extLst>
        </c:ser>
        <c:ser>
          <c:idx val="4"/>
          <c:order val="4"/>
          <c:tx>
            <c:strRef>
              <c:f>Graph2!$J$10</c:f>
              <c:strCache>
                <c:ptCount val="1"/>
                <c:pt idx="0">
                  <c:v>Non renseignée</c:v>
                </c:pt>
              </c:strCache>
            </c:strRef>
          </c:tx>
          <c:spPr>
            <a:solidFill>
              <a:schemeClr val="accent3">
                <a:lumMod val="7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4-29CB-4ADE-88E4-B6CC448FCEF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Graph2!$K$4:$R$5</c15:sqref>
                  </c15:fullRef>
                </c:ext>
              </c:extLst>
              <c:f>Graph2!$K$4:$R$5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cat>
          <c:val>
            <c:numRef>
              <c:extLst>
                <c:ext xmlns:c15="http://schemas.microsoft.com/office/drawing/2012/chart" uri="{02D57815-91ED-43cb-92C2-25804820EDAC}">
                  <c15:fullRef>
                    <c15:sqref>Graph2!$K$10:$R$10</c15:sqref>
                  </c15:fullRef>
                </c:ext>
              </c:extLst>
              <c:f>Graph2!$K$10:$P$10</c:f>
              <c:numCache>
                <c:formatCode>0.0</c:formatCode>
                <c:ptCount val="6"/>
                <c:pt idx="0">
                  <c:v>1.8</c:v>
                </c:pt>
                <c:pt idx="1">
                  <c:v>3.4</c:v>
                </c:pt>
                <c:pt idx="2">
                  <c:v>5</c:v>
                </c:pt>
                <c:pt idx="3">
                  <c:v>8.4</c:v>
                </c:pt>
                <c:pt idx="4">
                  <c:v>13.9</c:v>
                </c:pt>
                <c:pt idx="5">
                  <c:v>22.5</c:v>
                </c:pt>
              </c:numCache>
            </c:numRef>
          </c:val>
          <c:extLst>
            <c:ext xmlns:c16="http://schemas.microsoft.com/office/drawing/2014/chart" uri="{C3380CC4-5D6E-409C-BE32-E72D297353CC}">
              <c16:uniqueId val="{00000005-29CB-4ADE-88E4-B6CC448FCEF8}"/>
            </c:ext>
          </c:extLst>
        </c:ser>
        <c:dLbls>
          <c:showLegendKey val="0"/>
          <c:showVal val="0"/>
          <c:showCatName val="0"/>
          <c:showSerName val="0"/>
          <c:showPercent val="0"/>
          <c:showBubbleSize val="0"/>
        </c:dLbls>
        <c:gapWidth val="150"/>
        <c:overlap val="100"/>
        <c:axId val="326332351"/>
        <c:axId val="112702223"/>
      </c:barChart>
      <c:catAx>
        <c:axId val="326332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702223"/>
        <c:crosses val="autoZero"/>
        <c:auto val="1"/>
        <c:lblAlgn val="ctr"/>
        <c:lblOffset val="100"/>
        <c:noMultiLvlLbl val="0"/>
      </c:catAx>
      <c:valAx>
        <c:axId val="11270222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6332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Graph3!$I$6</c:f>
              <c:strCache>
                <c:ptCount val="1"/>
                <c:pt idx="0">
                  <c:v>Défavorisée</c:v>
                </c:pt>
              </c:strCache>
            </c:strRef>
          </c:tx>
          <c:spPr>
            <a:ln w="19050" cap="rnd">
              <a:noFill/>
              <a:round/>
            </a:ln>
            <a:effectLst/>
          </c:spPr>
          <c:marker>
            <c:symbol val="circle"/>
            <c:size val="5"/>
            <c:spPr>
              <a:solidFill>
                <a:schemeClr val="accent1"/>
              </a:solidFill>
              <a:ln w="9525">
                <a:solidFill>
                  <a:schemeClr val="accent1"/>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Graph3!$J$6:$O$6</c:f>
              <c:numCache>
                <c:formatCode>0.0</c:formatCode>
                <c:ptCount val="6"/>
                <c:pt idx="0">
                  <c:v>92.2</c:v>
                </c:pt>
                <c:pt idx="1">
                  <c:v>91</c:v>
                </c:pt>
                <c:pt idx="2">
                  <c:v>85.9</c:v>
                </c:pt>
                <c:pt idx="3">
                  <c:v>85.2</c:v>
                </c:pt>
                <c:pt idx="4">
                  <c:v>78.8</c:v>
                </c:pt>
                <c:pt idx="5">
                  <c:v>77.900000000000006</c:v>
                </c:pt>
              </c:numCache>
            </c:numRef>
          </c:yVal>
          <c:smooth val="0"/>
          <c:extLst>
            <c:ext xmlns:c16="http://schemas.microsoft.com/office/drawing/2014/chart" uri="{C3380CC4-5D6E-409C-BE32-E72D297353CC}">
              <c16:uniqueId val="{00000000-A2D6-4AC3-8FA3-673679834F7D}"/>
            </c:ext>
          </c:extLst>
        </c:ser>
        <c:ser>
          <c:idx val="1"/>
          <c:order val="1"/>
          <c:tx>
            <c:strRef>
              <c:f>Graph3!$I$7</c:f>
              <c:strCache>
                <c:ptCount val="1"/>
                <c:pt idx="0">
                  <c:v>Moyenne</c:v>
                </c:pt>
              </c:strCache>
            </c:strRef>
          </c:tx>
          <c:spPr>
            <a:ln w="19050" cap="rnd">
              <a:noFill/>
              <a:round/>
            </a:ln>
            <a:effectLst/>
          </c:spPr>
          <c:marker>
            <c:symbol val="circle"/>
            <c:size val="5"/>
            <c:spPr>
              <a:solidFill>
                <a:schemeClr val="accent2"/>
              </a:solidFill>
              <a:ln w="9525">
                <a:solidFill>
                  <a:schemeClr val="accent2"/>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Graph3!$J$7:$O$7</c:f>
              <c:numCache>
                <c:formatCode>0.0</c:formatCode>
                <c:ptCount val="6"/>
                <c:pt idx="0">
                  <c:v>95.4</c:v>
                </c:pt>
                <c:pt idx="1">
                  <c:v>95.2</c:v>
                </c:pt>
                <c:pt idx="2">
                  <c:v>90.4</c:v>
                </c:pt>
                <c:pt idx="3">
                  <c:v>90</c:v>
                </c:pt>
                <c:pt idx="4">
                  <c:v>84.3</c:v>
                </c:pt>
                <c:pt idx="5">
                  <c:v>84.4</c:v>
                </c:pt>
              </c:numCache>
            </c:numRef>
          </c:yVal>
          <c:smooth val="0"/>
          <c:extLst>
            <c:ext xmlns:c16="http://schemas.microsoft.com/office/drawing/2014/chart" uri="{C3380CC4-5D6E-409C-BE32-E72D297353CC}">
              <c16:uniqueId val="{00000001-A2D6-4AC3-8FA3-673679834F7D}"/>
            </c:ext>
          </c:extLst>
        </c:ser>
        <c:ser>
          <c:idx val="2"/>
          <c:order val="2"/>
          <c:tx>
            <c:strRef>
              <c:f>Graph3!$I$8</c:f>
              <c:strCache>
                <c:ptCount val="1"/>
                <c:pt idx="0">
                  <c:v>Favorisée</c:v>
                </c:pt>
              </c:strCache>
            </c:strRef>
          </c:tx>
          <c:spPr>
            <a:ln w="19050" cap="rnd">
              <a:noFill/>
              <a:round/>
            </a:ln>
            <a:effectLst/>
          </c:spPr>
          <c:marker>
            <c:symbol val="circle"/>
            <c:size val="5"/>
            <c:spPr>
              <a:solidFill>
                <a:schemeClr val="accent3"/>
              </a:solidFill>
              <a:ln w="9525">
                <a:solidFill>
                  <a:schemeClr val="accent3"/>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Graph3!$J$8:$O$8</c:f>
              <c:numCache>
                <c:formatCode>0.0</c:formatCode>
                <c:ptCount val="6"/>
                <c:pt idx="0">
                  <c:v>97.6</c:v>
                </c:pt>
                <c:pt idx="1">
                  <c:v>96.6</c:v>
                </c:pt>
                <c:pt idx="2">
                  <c:v>93.4</c:v>
                </c:pt>
                <c:pt idx="3">
                  <c:v>92.1</c:v>
                </c:pt>
                <c:pt idx="4">
                  <c:v>86.7</c:v>
                </c:pt>
                <c:pt idx="5">
                  <c:v>86.4</c:v>
                </c:pt>
              </c:numCache>
            </c:numRef>
          </c:yVal>
          <c:smooth val="0"/>
          <c:extLst>
            <c:ext xmlns:c16="http://schemas.microsoft.com/office/drawing/2014/chart" uri="{C3380CC4-5D6E-409C-BE32-E72D297353CC}">
              <c16:uniqueId val="{00000002-A2D6-4AC3-8FA3-673679834F7D}"/>
            </c:ext>
          </c:extLst>
        </c:ser>
        <c:ser>
          <c:idx val="3"/>
          <c:order val="3"/>
          <c:tx>
            <c:strRef>
              <c:f>Graph3!$I$9</c:f>
              <c:strCache>
                <c:ptCount val="1"/>
                <c:pt idx="0">
                  <c:v>Très favorisée</c:v>
                </c:pt>
              </c:strCache>
            </c:strRef>
          </c:tx>
          <c:spPr>
            <a:ln w="19050" cap="rnd">
              <a:noFill/>
              <a:round/>
            </a:ln>
            <a:effectLst/>
          </c:spPr>
          <c:marker>
            <c:symbol val="circle"/>
            <c:size val="5"/>
            <c:spPr>
              <a:solidFill>
                <a:schemeClr val="accent4"/>
              </a:solidFill>
              <a:ln w="9525">
                <a:solidFill>
                  <a:schemeClr val="accent4"/>
                </a:solidFill>
              </a:ln>
              <a:effectLst/>
            </c:spPr>
          </c:marker>
          <c:xVal>
            <c:multiLvlStrRef>
              <c:f>Graph3!$J$4:$O$5</c:f>
              <c:multiLvlStrCache>
                <c:ptCount val="6"/>
                <c:lvl>
                  <c:pt idx="0">
                    <c:v>Académie</c:v>
                  </c:pt>
                  <c:pt idx="1">
                    <c:v>France</c:v>
                  </c:pt>
                  <c:pt idx="2">
                    <c:v>Académie</c:v>
                  </c:pt>
                  <c:pt idx="3">
                    <c:v>France</c:v>
                  </c:pt>
                  <c:pt idx="4">
                    <c:v>Académie</c:v>
                  </c:pt>
                  <c:pt idx="5">
                    <c:v>France</c:v>
                  </c:pt>
                </c:lvl>
                <c:lvl>
                  <c:pt idx="0">
                    <c:v>Bac général</c:v>
                  </c:pt>
                  <c:pt idx="2">
                    <c:v>Bac techno</c:v>
                  </c:pt>
                  <c:pt idx="4">
                    <c:v>Bac pro</c:v>
                  </c:pt>
                </c:lvl>
              </c:multiLvlStrCache>
            </c:multiLvlStrRef>
          </c:xVal>
          <c:yVal>
            <c:numRef>
              <c:f>Graph3!$J$9:$O$9</c:f>
              <c:numCache>
                <c:formatCode>0.0</c:formatCode>
                <c:ptCount val="6"/>
                <c:pt idx="0">
                  <c:v>98.5</c:v>
                </c:pt>
                <c:pt idx="1">
                  <c:v>98</c:v>
                </c:pt>
                <c:pt idx="2">
                  <c:v>95.5</c:v>
                </c:pt>
                <c:pt idx="3">
                  <c:v>93.9</c:v>
                </c:pt>
                <c:pt idx="4">
                  <c:v>89.2</c:v>
                </c:pt>
                <c:pt idx="5">
                  <c:v>89.8</c:v>
                </c:pt>
              </c:numCache>
            </c:numRef>
          </c:yVal>
          <c:smooth val="0"/>
          <c:extLst>
            <c:ext xmlns:c16="http://schemas.microsoft.com/office/drawing/2014/chart" uri="{C3380CC4-5D6E-409C-BE32-E72D297353CC}">
              <c16:uniqueId val="{00000003-A2D6-4AC3-8FA3-673679834F7D}"/>
            </c:ext>
          </c:extLst>
        </c:ser>
        <c:dLbls>
          <c:showLegendKey val="0"/>
          <c:showVal val="0"/>
          <c:showCatName val="0"/>
          <c:showSerName val="0"/>
          <c:showPercent val="0"/>
          <c:showBubbleSize val="0"/>
        </c:dLbls>
        <c:axId val="1792987840"/>
        <c:axId val="1905348800"/>
      </c:scatterChart>
      <c:valAx>
        <c:axId val="1792987840"/>
        <c:scaling>
          <c:orientation val="minMax"/>
        </c:scaling>
        <c:delete val="1"/>
        <c:axPos val="b"/>
        <c:majorGridlines>
          <c:spPr>
            <a:ln w="9525" cap="flat" cmpd="sng" algn="ctr">
              <a:noFill/>
              <a:round/>
            </a:ln>
            <a:effectLst/>
          </c:spPr>
        </c:majorGridlines>
        <c:majorTickMark val="none"/>
        <c:minorTickMark val="none"/>
        <c:tickLblPos val="nextTo"/>
        <c:crossAx val="1905348800"/>
        <c:crosses val="autoZero"/>
        <c:crossBetween val="midCat"/>
      </c:valAx>
      <c:valAx>
        <c:axId val="1905348800"/>
        <c:scaling>
          <c:orientation val="minMax"/>
          <c:max val="99"/>
          <c:min val="7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29878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Graph4!$O$4</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Graph4!$P$4:$R$4</c:f>
              <c:numCache>
                <c:formatCode>0.0</c:formatCode>
                <c:ptCount val="3"/>
                <c:pt idx="0">
                  <c:v>87.6</c:v>
                </c:pt>
                <c:pt idx="1">
                  <c:v>82.1</c:v>
                </c:pt>
                <c:pt idx="2">
                  <c:v>86.2</c:v>
                </c:pt>
              </c:numCache>
            </c:numRef>
          </c:val>
          <c:extLst>
            <c:ext xmlns:c16="http://schemas.microsoft.com/office/drawing/2014/chart" uri="{C3380CC4-5D6E-409C-BE32-E72D297353CC}">
              <c16:uniqueId val="{00000000-0404-45C9-AA59-7CE58F315D42}"/>
            </c:ext>
          </c:extLst>
        </c:ser>
        <c:ser>
          <c:idx val="1"/>
          <c:order val="1"/>
          <c:tx>
            <c:strRef>
              <c:f>Graph4!$O$5</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Graph4!$P$3:$R$3</c:f>
              <c:strCache>
                <c:ptCount val="3"/>
                <c:pt idx="0">
                  <c:v>Production</c:v>
                </c:pt>
                <c:pt idx="1">
                  <c:v>Services</c:v>
                </c:pt>
                <c:pt idx="2">
                  <c:v>Ensemble</c:v>
                </c:pt>
              </c:strCache>
            </c:strRef>
          </c:cat>
          <c:val>
            <c:numRef>
              <c:f>Graph4!$P$5:$R$5</c:f>
              <c:numCache>
                <c:formatCode>0.0</c:formatCode>
                <c:ptCount val="3"/>
                <c:pt idx="0">
                  <c:v>80.599999999999994</c:v>
                </c:pt>
                <c:pt idx="1">
                  <c:v>83.4</c:v>
                </c:pt>
                <c:pt idx="2">
                  <c:v>82.2</c:v>
                </c:pt>
              </c:numCache>
            </c:numRef>
          </c:val>
          <c:extLst>
            <c:ext xmlns:c16="http://schemas.microsoft.com/office/drawing/2014/chart" uri="{C3380CC4-5D6E-409C-BE32-E72D297353CC}">
              <c16:uniqueId val="{00000001-0404-45C9-AA59-7CE58F315D42}"/>
            </c:ext>
          </c:extLst>
        </c:ser>
        <c:dLbls>
          <c:showLegendKey val="0"/>
          <c:showVal val="0"/>
          <c:showCatName val="0"/>
          <c:showSerName val="0"/>
          <c:showPercent val="0"/>
          <c:showBubbleSize val="0"/>
        </c:dLbls>
        <c:gapWidth val="219"/>
        <c:overlap val="-27"/>
        <c:axId val="954321599"/>
        <c:axId val="954654975"/>
      </c:barChart>
      <c:catAx>
        <c:axId val="954321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4975"/>
        <c:crosses val="autoZero"/>
        <c:auto val="1"/>
        <c:lblAlgn val="ctr"/>
        <c:lblOffset val="100"/>
        <c:noMultiLvlLbl val="0"/>
      </c:catAx>
      <c:valAx>
        <c:axId val="9546549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5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Graph4!$O$8</c:f>
              <c:strCache>
                <c:ptCount val="1"/>
                <c:pt idx="0">
                  <c:v>Apprentis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Graph4!$P$8:$R$8</c:f>
              <c:numCache>
                <c:formatCode>0.0</c:formatCode>
                <c:ptCount val="3"/>
                <c:pt idx="0">
                  <c:v>84.4</c:v>
                </c:pt>
                <c:pt idx="1">
                  <c:v>81.900000000000006</c:v>
                </c:pt>
                <c:pt idx="2">
                  <c:v>83.7</c:v>
                </c:pt>
              </c:numCache>
            </c:numRef>
          </c:val>
          <c:extLst>
            <c:ext xmlns:c16="http://schemas.microsoft.com/office/drawing/2014/chart" uri="{C3380CC4-5D6E-409C-BE32-E72D297353CC}">
              <c16:uniqueId val="{00000000-917A-4570-8314-5769531550AF}"/>
            </c:ext>
          </c:extLst>
        </c:ser>
        <c:ser>
          <c:idx val="1"/>
          <c:order val="1"/>
          <c:tx>
            <c:strRef>
              <c:f>Graph4!$O$9</c:f>
              <c:strCache>
                <c:ptCount val="1"/>
                <c:pt idx="0">
                  <c:v>Scolaires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Graph4!$P$7:$R$7</c:f>
              <c:strCache>
                <c:ptCount val="3"/>
                <c:pt idx="0">
                  <c:v>Production</c:v>
                </c:pt>
                <c:pt idx="1">
                  <c:v>Services</c:v>
                </c:pt>
                <c:pt idx="2">
                  <c:v>Ensemble</c:v>
                </c:pt>
              </c:strCache>
            </c:strRef>
          </c:cat>
          <c:val>
            <c:numRef>
              <c:f>Graph4!$P$9:$R$9</c:f>
              <c:numCache>
                <c:formatCode>0.0</c:formatCode>
                <c:ptCount val="3"/>
                <c:pt idx="0">
                  <c:v>81.400000000000006</c:v>
                </c:pt>
                <c:pt idx="1">
                  <c:v>83.6</c:v>
                </c:pt>
                <c:pt idx="2">
                  <c:v>82.7</c:v>
                </c:pt>
              </c:numCache>
            </c:numRef>
          </c:val>
          <c:extLst>
            <c:ext xmlns:c16="http://schemas.microsoft.com/office/drawing/2014/chart" uri="{C3380CC4-5D6E-409C-BE32-E72D297353CC}">
              <c16:uniqueId val="{00000001-917A-4570-8314-5769531550AF}"/>
            </c:ext>
          </c:extLst>
        </c:ser>
        <c:dLbls>
          <c:showLegendKey val="0"/>
          <c:showVal val="0"/>
          <c:showCatName val="0"/>
          <c:showSerName val="0"/>
          <c:showPercent val="0"/>
          <c:showBubbleSize val="0"/>
        </c:dLbls>
        <c:gapWidth val="219"/>
        <c:overlap val="-27"/>
        <c:axId val="954321999"/>
        <c:axId val="954650399"/>
      </c:barChart>
      <c:catAx>
        <c:axId val="954321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650399"/>
        <c:crosses val="autoZero"/>
        <c:auto val="1"/>
        <c:lblAlgn val="ctr"/>
        <c:lblOffset val="100"/>
        <c:noMultiLvlLbl val="0"/>
      </c:catAx>
      <c:valAx>
        <c:axId val="954650399"/>
        <c:scaling>
          <c:orientation val="minMax"/>
          <c:max val="90"/>
          <c:min val="7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4321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47625</xdr:rowOff>
    </xdr:from>
    <xdr:to>
      <xdr:col>6</xdr:col>
      <xdr:colOff>533400</xdr:colOff>
      <xdr:row>21</xdr:row>
      <xdr:rowOff>47625</xdr:rowOff>
    </xdr:to>
    <xdr:graphicFrame macro="">
      <xdr:nvGraphicFramePr>
        <xdr:cNvPr id="3" name="Graphique 2">
          <a:extLst>
            <a:ext uri="{FF2B5EF4-FFF2-40B4-BE49-F238E27FC236}">
              <a16:creationId xmlns:a16="http://schemas.microsoft.com/office/drawing/2014/main" id="{0DF17F6E-D270-4CAA-A6F9-B867A23E5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0.65485</cdr:x>
      <cdr:y>0.07222</cdr:y>
    </cdr:from>
    <cdr:to>
      <cdr:x>0.70896</cdr:x>
      <cdr:y>0.13333</cdr:y>
    </cdr:to>
    <cdr:sp macro="" textlink="">
      <cdr:nvSpPr>
        <cdr:cNvPr id="3" name="ZoneTexte 2">
          <a:extLst xmlns:a="http://schemas.openxmlformats.org/drawingml/2006/main">
            <a:ext uri="{FF2B5EF4-FFF2-40B4-BE49-F238E27FC236}">
              <a16:creationId xmlns:a16="http://schemas.microsoft.com/office/drawing/2014/main" id="{69761A78-27BC-4AAD-ABB9-3E720F5370A3}"/>
            </a:ext>
          </a:extLst>
        </cdr:cNvPr>
        <cdr:cNvSpPr txBox="1"/>
      </cdr:nvSpPr>
      <cdr:spPr>
        <a:xfrm xmlns:a="http://schemas.openxmlformats.org/drawingml/2006/main">
          <a:off x="3343275" y="247650"/>
          <a:ext cx="2762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0.87313</cdr:x>
      <cdr:y>0.03611</cdr:y>
    </cdr:from>
    <cdr:to>
      <cdr:x>1</cdr:x>
      <cdr:y>0.09167</cdr:y>
    </cdr:to>
    <cdr:sp macro="" textlink="">
      <cdr:nvSpPr>
        <cdr:cNvPr id="4" name="ZoneTexte 3">
          <a:extLst xmlns:a="http://schemas.openxmlformats.org/drawingml/2006/main">
            <a:ext uri="{FF2B5EF4-FFF2-40B4-BE49-F238E27FC236}">
              <a16:creationId xmlns:a16="http://schemas.microsoft.com/office/drawing/2014/main" id="{68656085-D3C3-4DD7-B3C6-0DFA9FBF62E0}"/>
            </a:ext>
          </a:extLst>
        </cdr:cNvPr>
        <cdr:cNvSpPr txBox="1"/>
      </cdr:nvSpPr>
      <cdr:spPr>
        <a:xfrm xmlns:a="http://schemas.openxmlformats.org/drawingml/2006/main">
          <a:off x="4457700" y="123826"/>
          <a:ext cx="6477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96,0</a:t>
          </a:r>
        </a:p>
        <a:p xmlns:a="http://schemas.openxmlformats.org/drawingml/2006/main">
          <a:endParaRPr lang="fr-FR" sz="1100"/>
        </a:p>
      </cdr:txBody>
    </cdr:sp>
  </cdr:relSizeAnchor>
  <cdr:relSizeAnchor xmlns:cdr="http://schemas.openxmlformats.org/drawingml/2006/chartDrawing">
    <cdr:from>
      <cdr:x>0.87313</cdr:x>
      <cdr:y>0.22314</cdr:y>
    </cdr:from>
    <cdr:to>
      <cdr:x>1</cdr:x>
      <cdr:y>0.2787</cdr:y>
    </cdr:to>
    <cdr:sp macro="" textlink="">
      <cdr:nvSpPr>
        <cdr:cNvPr id="5" name="ZoneTexte 1">
          <a:extLst xmlns:a="http://schemas.openxmlformats.org/drawingml/2006/main">
            <a:ext uri="{FF2B5EF4-FFF2-40B4-BE49-F238E27FC236}">
              <a16:creationId xmlns:a16="http://schemas.microsoft.com/office/drawing/2014/main" id="{A88BCCF4-5CA7-456A-8675-74945E50F165}"/>
            </a:ext>
          </a:extLst>
        </cdr:cNvPr>
        <cdr:cNvSpPr txBox="1"/>
      </cdr:nvSpPr>
      <cdr:spPr>
        <a:xfrm xmlns:a="http://schemas.openxmlformats.org/drawingml/2006/main">
          <a:off x="4457678" y="765162"/>
          <a:ext cx="647722" cy="1905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90,7</a:t>
          </a:r>
        </a:p>
      </cdr:txBody>
    </cdr:sp>
  </cdr:relSizeAnchor>
  <cdr:relSizeAnchor xmlns:cdr="http://schemas.openxmlformats.org/drawingml/2006/chartDrawing">
    <cdr:from>
      <cdr:x>0.87313</cdr:x>
      <cdr:y>0.18426</cdr:y>
    </cdr:from>
    <cdr:to>
      <cdr:x>1</cdr:x>
      <cdr:y>0.23981</cdr:y>
    </cdr:to>
    <cdr:sp macro="" textlink="">
      <cdr:nvSpPr>
        <cdr:cNvPr id="6"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57678" y="631831"/>
          <a:ext cx="647722" cy="1904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91,2</a:t>
          </a:r>
        </a:p>
      </cdr:txBody>
    </cdr:sp>
  </cdr:relSizeAnchor>
  <cdr:relSizeAnchor xmlns:cdr="http://schemas.openxmlformats.org/drawingml/2006/chartDrawing">
    <cdr:from>
      <cdr:x>0.87313</cdr:x>
      <cdr:y>0.30093</cdr:y>
    </cdr:from>
    <cdr:to>
      <cdr:x>1</cdr:x>
      <cdr:y>0.35649</cdr:y>
    </cdr:to>
    <cdr:sp macro="" textlink="">
      <cdr:nvSpPr>
        <cdr:cNvPr id="7"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57678" y="1031874"/>
          <a:ext cx="647722"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90,0</a:t>
          </a:r>
        </a:p>
      </cdr:txBody>
    </cdr:sp>
  </cdr:relSizeAnchor>
  <cdr:relSizeAnchor xmlns:cdr="http://schemas.openxmlformats.org/drawingml/2006/chartDrawing">
    <cdr:from>
      <cdr:x>0.8638</cdr:x>
      <cdr:y>0.5287</cdr:y>
    </cdr:from>
    <cdr:to>
      <cdr:x>0.99067</cdr:x>
      <cdr:y>0.58426</cdr:y>
    </cdr:to>
    <cdr:sp macro="" textlink="">
      <cdr:nvSpPr>
        <cdr:cNvPr id="8" name="ZoneTexte 1">
          <a:extLst xmlns:a="http://schemas.openxmlformats.org/drawingml/2006/main">
            <a:ext uri="{FF2B5EF4-FFF2-40B4-BE49-F238E27FC236}">
              <a16:creationId xmlns:a16="http://schemas.microsoft.com/office/drawing/2014/main" id="{D58E8C9E-71F7-45D7-A147-5167FE463BD1}"/>
            </a:ext>
          </a:extLst>
        </cdr:cNvPr>
        <cdr:cNvSpPr txBox="1"/>
      </cdr:nvSpPr>
      <cdr:spPr>
        <a:xfrm xmlns:a="http://schemas.openxmlformats.org/drawingml/2006/main">
          <a:off x="4410053" y="1812916"/>
          <a:ext cx="647722" cy="190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82,8</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23</xdr:row>
      <xdr:rowOff>6350</xdr:rowOff>
    </xdr:from>
    <xdr:to>
      <xdr:col>12</xdr:col>
      <xdr:colOff>101600</xdr:colOff>
      <xdr:row>30</xdr:row>
      <xdr:rowOff>177800</xdr:rowOff>
    </xdr:to>
    <xdr:sp macro="" textlink="">
      <xdr:nvSpPr>
        <xdr:cNvPr id="2" name="ZoneTexte 1">
          <a:extLst>
            <a:ext uri="{FF2B5EF4-FFF2-40B4-BE49-F238E27FC236}">
              <a16:creationId xmlns:a16="http://schemas.microsoft.com/office/drawing/2014/main" id="{F27F287E-7D73-49F6-8EB4-F85F87C49E47}"/>
            </a:ext>
          </a:extLst>
        </xdr:cNvPr>
        <xdr:cNvSpPr txBox="1"/>
      </xdr:nvSpPr>
      <xdr:spPr>
        <a:xfrm>
          <a:off x="0" y="4413250"/>
          <a:ext cx="954405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Le nombre total de candidats à la session 2023 est en hausse de 2,5 % (+471). La voie générale, qui rassemble 53,1 % des présents, compte 577 candidats de plus (+5,9 %). Le baccalauréat technologique (19,8 % des présents) enregistre 58 candidats de plus (+1,5 %). La voie professionnelle (27,1 % des présents) perd 67 candidats dans le domaine de la production (-2,6 %) et 97 dans celui des services (-3,3 %).</a:t>
          </a:r>
        </a:p>
        <a:p>
          <a:r>
            <a:rPr lang="fr-FR" sz="1100">
              <a:solidFill>
                <a:sysClr val="windowText" lastClr="000000"/>
              </a:solidFill>
            </a:rPr>
            <a:t>Le taux de réussite du baccalauréat général est de 96,0 %. Ce taux baisse légèrement par rapport à la session 2022 (-0,4 point).</a:t>
          </a:r>
        </a:p>
        <a:p>
          <a:r>
            <a:rPr lang="fr-FR" sz="1100">
              <a:solidFill>
                <a:sysClr val="windowText" lastClr="000000"/>
              </a:solidFill>
            </a:rPr>
            <a:t>La réussite au baccalauréat technologique est assez</a:t>
          </a:r>
          <a:r>
            <a:rPr lang="fr-FR" sz="1100" baseline="0">
              <a:solidFill>
                <a:sysClr val="windowText" lastClr="000000"/>
              </a:solidFill>
            </a:rPr>
            <a:t> variable selon les séries. Elle atteint 100,0 % en STD2A (+1,0 point), 97,3 % en STAV (-0,6 point) et 96,1 % en STHR (-2,8 points) alors qu'elle n'est que de 84,5 % en STL (+1,1 point) et de 87,8 % en STMG (-2,3 points)</a:t>
          </a:r>
          <a:r>
            <a:rPr lang="fr-FR" sz="1100">
              <a:solidFill>
                <a:sysClr val="windowText" lastClr="000000"/>
              </a:solidFill>
            </a:rPr>
            <a:t>. </a:t>
          </a:r>
        </a:p>
        <a:p>
          <a:r>
            <a:rPr lang="fr-FR" sz="1100">
              <a:solidFill>
                <a:sysClr val="windowText" lastClr="000000"/>
              </a:solidFill>
            </a:rPr>
            <a:t>Avec une réussite de 82,6 %, le baccalauréat professionnel gagne 0,5 point en un an (+0,4 point au niveau national). La hausse est significative dans le domaine de la production (+1,5 point) alors que le domaine des services perd 0,5 point par rapport à 2022.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22</xdr:row>
      <xdr:rowOff>6350</xdr:rowOff>
    </xdr:from>
    <xdr:to>
      <xdr:col>8</xdr:col>
      <xdr:colOff>635000</xdr:colOff>
      <xdr:row>32</xdr:row>
      <xdr:rowOff>152400</xdr:rowOff>
    </xdr:to>
    <xdr:sp macro="" textlink="">
      <xdr:nvSpPr>
        <xdr:cNvPr id="2" name="ZoneTexte 1">
          <a:extLst>
            <a:ext uri="{FF2B5EF4-FFF2-40B4-BE49-F238E27FC236}">
              <a16:creationId xmlns:a16="http://schemas.microsoft.com/office/drawing/2014/main" id="{63DAA1C0-3328-4388-9620-7E6543D473D7}"/>
            </a:ext>
          </a:extLst>
        </xdr:cNvPr>
        <xdr:cNvSpPr txBox="1"/>
      </xdr:nvSpPr>
      <xdr:spPr>
        <a:xfrm>
          <a:off x="0" y="4311650"/>
          <a:ext cx="7283450" cy="198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Les filles réussissent mieux que les garçons, dans l’académie (92,9 % contre 89,6 %) ainsi qu'en France (92,6 % contre 88,8 %). Cette meilleure réussite s'observe pour l'ensemble des séries hormis en ST2S, où les filles réussissent moins bien que les garçons (-0,9 point).</a:t>
          </a:r>
        </a:p>
        <a:p>
          <a:r>
            <a:rPr lang="fr-FR" sz="1100">
              <a:solidFill>
                <a:sysClr val="windowText" lastClr="000000"/>
              </a:solidFill>
            </a:rPr>
            <a:t>La parité est globalement atteinte : 49,8 % des présents de l'académie sont des filles (50,4 % au niveau national). Mais des disparités subsistent selon les séries.</a:t>
          </a:r>
        </a:p>
        <a:p>
          <a:r>
            <a:rPr lang="fr-FR" sz="1100">
              <a:solidFill>
                <a:sysClr val="windowText" lastClr="000000"/>
              </a:solidFill>
            </a:rPr>
            <a:t>En voie générale, les filles sont  majoritaires (55,2 % des présents) et obtiennent</a:t>
          </a:r>
          <a:r>
            <a:rPr lang="fr-FR" sz="1100" baseline="0">
              <a:solidFill>
                <a:sysClr val="windowText" lastClr="000000"/>
              </a:solidFill>
            </a:rPr>
            <a:t> </a:t>
          </a:r>
          <a:r>
            <a:rPr lang="fr-FR" sz="1100">
              <a:solidFill>
                <a:sysClr val="windowText" lastClr="000000"/>
              </a:solidFill>
            </a:rPr>
            <a:t>un taux de réussite de 96,7 %.</a:t>
          </a:r>
        </a:p>
        <a:p>
          <a:r>
            <a:rPr lang="fr-FR" sz="1100">
              <a:solidFill>
                <a:sysClr val="windowText" lastClr="000000"/>
              </a:solidFill>
            </a:rPr>
            <a:t>Dans la voie technologique, la part des filles est de 48,7 % en baisse de 0,7 point par rapport à 2022. La série STI2D, avec seulement 7,7 % de candidates, reste la moins féminisée (7,7 %) alors qu'elles représentent 84,4 % de l'ensemble des candidats en ST2S.</a:t>
          </a:r>
        </a:p>
        <a:p>
          <a:r>
            <a:rPr lang="fr-FR" sz="1100">
              <a:solidFill>
                <a:sysClr val="windowText" lastClr="000000"/>
              </a:solidFill>
            </a:rPr>
            <a:t>La réussite des filles est supérieure à celle des garçons pour les deux secteurs du baccalauréat professionnel (production et services). La présence des filles demeure néanmoins très faible en production.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161926</xdr:colOff>
      <xdr:row>3</xdr:row>
      <xdr:rowOff>9525</xdr:rowOff>
    </xdr:from>
    <xdr:to>
      <xdr:col>7</xdr:col>
      <xdr:colOff>247651</xdr:colOff>
      <xdr:row>21</xdr:row>
      <xdr:rowOff>47625</xdr:rowOff>
    </xdr:to>
    <xdr:graphicFrame macro="">
      <xdr:nvGraphicFramePr>
        <xdr:cNvPr id="2" name="Graphique 1">
          <a:extLst>
            <a:ext uri="{FF2B5EF4-FFF2-40B4-BE49-F238E27FC236}">
              <a16:creationId xmlns:a16="http://schemas.microsoft.com/office/drawing/2014/main" id="{217B1A0E-7661-4E1A-ABCB-11ACEE33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22</xdr:row>
      <xdr:rowOff>12700</xdr:rowOff>
    </xdr:from>
    <xdr:to>
      <xdr:col>8</xdr:col>
      <xdr:colOff>514350</xdr:colOff>
      <xdr:row>30</xdr:row>
      <xdr:rowOff>57150</xdr:rowOff>
    </xdr:to>
    <xdr:sp macro="" textlink="">
      <xdr:nvSpPr>
        <xdr:cNvPr id="3" name="ZoneTexte 2">
          <a:extLst>
            <a:ext uri="{FF2B5EF4-FFF2-40B4-BE49-F238E27FC236}">
              <a16:creationId xmlns:a16="http://schemas.microsoft.com/office/drawing/2014/main" id="{DFB8C7CA-FD59-4D7A-B631-07D868981F78}"/>
            </a:ext>
          </a:extLst>
        </xdr:cNvPr>
        <xdr:cNvSpPr txBox="1"/>
      </xdr:nvSpPr>
      <xdr:spPr>
        <a:xfrm>
          <a:off x="95250" y="3517900"/>
          <a:ext cx="587375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ysClr val="windowText" lastClr="000000"/>
              </a:solidFill>
            </a:rPr>
            <a:t>Dans l'académie comme dans l'ensemble de la France (52,3 % et 52,0 %) la majorité des présents au baccalauréat général sont issus des classes sociales très</a:t>
          </a:r>
          <a:r>
            <a:rPr lang="fr-FR" sz="1100" baseline="0">
              <a:solidFill>
                <a:sysClr val="windowText" lastClr="000000"/>
              </a:solidFill>
            </a:rPr>
            <a:t> favorisées ou </a:t>
          </a:r>
          <a:r>
            <a:rPr lang="fr-FR" sz="1100">
              <a:solidFill>
                <a:sysClr val="windowText" lastClr="000000"/>
              </a:solidFill>
            </a:rPr>
            <a:t>favorisées.</a:t>
          </a:r>
        </a:p>
        <a:p>
          <a:r>
            <a:rPr lang="fr-FR" sz="1100">
              <a:solidFill>
                <a:sysClr val="windowText" lastClr="000000"/>
              </a:solidFill>
            </a:rPr>
            <a:t>Pour les baccalauréats technologique et professionnelle, les catégories les plus défavorisées sont les plus représentées dans l'académie avec respectivement 34,5 % et 41,5 % des candidats. </a:t>
          </a:r>
        </a:p>
        <a:p>
          <a:r>
            <a:rPr lang="fr-FR" sz="1100">
              <a:solidFill>
                <a:sysClr val="windowText" lastClr="000000"/>
              </a:solidFill>
            </a:rPr>
            <a:t>Au niveau national, les candidats appartenant à cette catégorie sont également les plus nombreux pour le bac professionnel (32,7 %) alors que pour le bac technolgique, c'est la classe moyenne qui présente la proportion la plus élevée (31,6 %).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446690</xdr:colOff>
      <xdr:row>5</xdr:row>
      <xdr:rowOff>108059</xdr:rowOff>
    </xdr:from>
    <xdr:to>
      <xdr:col>1</xdr:col>
      <xdr:colOff>447347</xdr:colOff>
      <xdr:row>8</xdr:row>
      <xdr:rowOff>164224</xdr:rowOff>
    </xdr:to>
    <xdr:cxnSp macro="">
      <xdr:nvCxnSpPr>
        <xdr:cNvPr id="11" name="Connecteur droit 10">
          <a:extLst>
            <a:ext uri="{FF2B5EF4-FFF2-40B4-BE49-F238E27FC236}">
              <a16:creationId xmlns:a16="http://schemas.microsoft.com/office/drawing/2014/main" id="{92152107-08DE-4045-BA4C-3162B041AA0D}"/>
            </a:ext>
          </a:extLst>
        </xdr:cNvPr>
        <xdr:cNvCxnSpPr/>
      </xdr:nvCxnSpPr>
      <xdr:spPr>
        <a:xfrm flipH="1">
          <a:off x="1372914" y="929180"/>
          <a:ext cx="657" cy="62766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349250</xdr:colOff>
      <xdr:row>3</xdr:row>
      <xdr:rowOff>57150</xdr:rowOff>
    </xdr:from>
    <xdr:to>
      <xdr:col>2</xdr:col>
      <xdr:colOff>609600</xdr:colOff>
      <xdr:row>4</xdr:row>
      <xdr:rowOff>155575</xdr:rowOff>
    </xdr:to>
    <xdr:sp macro="" textlink="">
      <xdr:nvSpPr>
        <xdr:cNvPr id="4" name="ZoneTexte 3">
          <a:extLst>
            <a:ext uri="{FF2B5EF4-FFF2-40B4-BE49-F238E27FC236}">
              <a16:creationId xmlns:a16="http://schemas.microsoft.com/office/drawing/2014/main" id="{A5753585-D60D-4AD9-BD96-11B94ED3C17A}"/>
            </a:ext>
          </a:extLst>
        </xdr:cNvPr>
        <xdr:cNvSpPr txBox="1"/>
      </xdr:nvSpPr>
      <xdr:spPr>
        <a:xfrm>
          <a:off x="127317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général</a:t>
          </a:r>
        </a:p>
      </xdr:txBody>
    </xdr:sp>
    <xdr:clientData/>
  </xdr:twoCellAnchor>
  <xdr:twoCellAnchor>
    <xdr:from>
      <xdr:col>0</xdr:col>
      <xdr:colOff>409575</xdr:colOff>
      <xdr:row>4</xdr:row>
      <xdr:rowOff>147637</xdr:rowOff>
    </xdr:from>
    <xdr:to>
      <xdr:col>7</xdr:col>
      <xdr:colOff>228600</xdr:colOff>
      <xdr:row>19</xdr:row>
      <xdr:rowOff>147637</xdr:rowOff>
    </xdr:to>
    <xdr:graphicFrame macro="">
      <xdr:nvGraphicFramePr>
        <xdr:cNvPr id="5" name="Graphique 4">
          <a:extLst>
            <a:ext uri="{FF2B5EF4-FFF2-40B4-BE49-F238E27FC236}">
              <a16:creationId xmlns:a16="http://schemas.microsoft.com/office/drawing/2014/main" id="{89193253-9B66-49A1-BB26-37CAC8E81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273050</xdr:colOff>
      <xdr:row>3</xdr:row>
      <xdr:rowOff>57150</xdr:rowOff>
    </xdr:from>
    <xdr:to>
      <xdr:col>4</xdr:col>
      <xdr:colOff>533400</xdr:colOff>
      <xdr:row>4</xdr:row>
      <xdr:rowOff>155575</xdr:rowOff>
    </xdr:to>
    <xdr:sp macro="" textlink="">
      <xdr:nvSpPr>
        <xdr:cNvPr id="6" name="ZoneTexte 5">
          <a:extLst>
            <a:ext uri="{FF2B5EF4-FFF2-40B4-BE49-F238E27FC236}">
              <a16:creationId xmlns:a16="http://schemas.microsoft.com/office/drawing/2014/main" id="{A386F95B-83BB-4D87-B1E7-93D0937EDD84}"/>
            </a:ext>
          </a:extLst>
        </xdr:cNvPr>
        <xdr:cNvSpPr txBox="1"/>
      </xdr:nvSpPr>
      <xdr:spPr>
        <a:xfrm>
          <a:off x="2473325" y="542925"/>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techho</a:t>
          </a:r>
        </a:p>
      </xdr:txBody>
    </xdr:sp>
    <xdr:clientData/>
  </xdr:twoCellAnchor>
  <xdr:twoCellAnchor>
    <xdr:from>
      <xdr:col>5</xdr:col>
      <xdr:colOff>225425</xdr:colOff>
      <xdr:row>3</xdr:row>
      <xdr:rowOff>66675</xdr:rowOff>
    </xdr:from>
    <xdr:to>
      <xdr:col>6</xdr:col>
      <xdr:colOff>485775</xdr:colOff>
      <xdr:row>5</xdr:row>
      <xdr:rowOff>3175</xdr:rowOff>
    </xdr:to>
    <xdr:sp macro="" textlink="">
      <xdr:nvSpPr>
        <xdr:cNvPr id="7" name="ZoneTexte 6">
          <a:extLst>
            <a:ext uri="{FF2B5EF4-FFF2-40B4-BE49-F238E27FC236}">
              <a16:creationId xmlns:a16="http://schemas.microsoft.com/office/drawing/2014/main" id="{2838BBA1-EF63-47FC-942B-40E6705AA55D}"/>
            </a:ext>
          </a:extLst>
        </xdr:cNvPr>
        <xdr:cNvSpPr txBox="1"/>
      </xdr:nvSpPr>
      <xdr:spPr>
        <a:xfrm>
          <a:off x="3702050" y="552450"/>
          <a:ext cx="898525" cy="2603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Bac pro</a:t>
          </a:r>
        </a:p>
      </xdr:txBody>
    </xdr:sp>
    <xdr:clientData/>
  </xdr:twoCellAnchor>
  <xdr:twoCellAnchor>
    <xdr:from>
      <xdr:col>3</xdr:col>
      <xdr:colOff>66675</xdr:colOff>
      <xdr:row>3</xdr:row>
      <xdr:rowOff>95250</xdr:rowOff>
    </xdr:from>
    <xdr:to>
      <xdr:col>3</xdr:col>
      <xdr:colOff>76200</xdr:colOff>
      <xdr:row>17</xdr:row>
      <xdr:rowOff>95250</xdr:rowOff>
    </xdr:to>
    <xdr:cxnSp macro="">
      <xdr:nvCxnSpPr>
        <xdr:cNvPr id="9" name="Connecteur droit 8">
          <a:extLst>
            <a:ext uri="{FF2B5EF4-FFF2-40B4-BE49-F238E27FC236}">
              <a16:creationId xmlns:a16="http://schemas.microsoft.com/office/drawing/2014/main" id="{00855B22-B3A0-46E8-84C0-A3D773FE5450}"/>
            </a:ext>
          </a:extLst>
        </xdr:cNvPr>
        <xdr:cNvCxnSpPr/>
      </xdr:nvCxnSpPr>
      <xdr:spPr>
        <a:xfrm>
          <a:off x="2266950" y="581025"/>
          <a:ext cx="9525" cy="2524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7226</xdr:colOff>
      <xdr:row>3</xdr:row>
      <xdr:rowOff>121198</xdr:rowOff>
    </xdr:from>
    <xdr:to>
      <xdr:col>5</xdr:col>
      <xdr:colOff>16751</xdr:colOff>
      <xdr:row>17</xdr:row>
      <xdr:rowOff>121198</xdr:rowOff>
    </xdr:to>
    <xdr:cxnSp macro="">
      <xdr:nvCxnSpPr>
        <xdr:cNvPr id="10" name="Connecteur droit 9">
          <a:extLst>
            <a:ext uri="{FF2B5EF4-FFF2-40B4-BE49-F238E27FC236}">
              <a16:creationId xmlns:a16="http://schemas.microsoft.com/office/drawing/2014/main" id="{4832C994-B997-4186-8F67-CE17A4EA6BF9}"/>
            </a:ext>
          </a:extLst>
        </xdr:cNvPr>
        <xdr:cNvCxnSpPr/>
      </xdr:nvCxnSpPr>
      <xdr:spPr>
        <a:xfrm>
          <a:off x="3482209" y="613870"/>
          <a:ext cx="9525" cy="25356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415925</xdr:colOff>
      <xdr:row>1</xdr:row>
      <xdr:rowOff>6350</xdr:rowOff>
    </xdr:from>
    <xdr:to>
      <xdr:col>12</xdr:col>
      <xdr:colOff>758825</xdr:colOff>
      <xdr:row>8</xdr:row>
      <xdr:rowOff>22225</xdr:rowOff>
    </xdr:to>
    <xdr:sp macro="" textlink="">
      <xdr:nvSpPr>
        <xdr:cNvPr id="2" name="ZoneTexte 1">
          <a:extLst>
            <a:ext uri="{FF2B5EF4-FFF2-40B4-BE49-F238E27FC236}">
              <a16:creationId xmlns:a16="http://schemas.microsoft.com/office/drawing/2014/main" id="{DDEB84F5-2770-4993-B98E-2004BDE68698}"/>
            </a:ext>
          </a:extLst>
        </xdr:cNvPr>
        <xdr:cNvSpPr txBox="1"/>
      </xdr:nvSpPr>
      <xdr:spPr>
        <a:xfrm>
          <a:off x="5324475" y="174625"/>
          <a:ext cx="49149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fr-FR" sz="1100" b="0" i="0" u="none" strike="noStrike" baseline="0">
              <a:solidFill>
                <a:sysClr val="windowText" lastClr="000000"/>
              </a:solidFill>
              <a:latin typeface="+mn-lt"/>
              <a:ea typeface="+mn-ea"/>
              <a:cs typeface="+mn-cs"/>
            </a:rPr>
            <a:t>Pour les sections européennes, l’obtention du diplôme n’est pas conditionnée par la validation de la mention européenne, et inversement. 9,9 % des candidats se présentent au baccalauréat dans le cadre des sections européennes (14,0 % dans la voie générale). À la session 2023, 92,4 % des bacheliers généraux ont validé la mention européenne. Cette proportion est de 76,6 % pour le baccalauréat technologique et de 58,8 % pour le baccalauréat professionnel. La réussite à l'examen s'établit en 2023 à 98,1 % avec une proportion de mention qui atteint 88,6 % parmi les admis.</a:t>
          </a:r>
        </a:p>
      </xdr:txBody>
    </xdr:sp>
    <xdr:clientData/>
  </xdr:twoCellAnchor>
  <xdr:twoCellAnchor>
    <xdr:from>
      <xdr:col>6</xdr:col>
      <xdr:colOff>422274</xdr:colOff>
      <xdr:row>8</xdr:row>
      <xdr:rowOff>92074</xdr:rowOff>
    </xdr:from>
    <xdr:to>
      <xdr:col>14</xdr:col>
      <xdr:colOff>3175</xdr:colOff>
      <xdr:row>15</xdr:row>
      <xdr:rowOff>152400</xdr:rowOff>
    </xdr:to>
    <xdr:sp macro="" textlink="">
      <xdr:nvSpPr>
        <xdr:cNvPr id="3" name="ZoneTexte 2">
          <a:extLst>
            <a:ext uri="{FF2B5EF4-FFF2-40B4-BE49-F238E27FC236}">
              <a16:creationId xmlns:a16="http://schemas.microsoft.com/office/drawing/2014/main" id="{7234370E-8C42-4E8F-8859-C30006693CBE}"/>
            </a:ext>
          </a:extLst>
        </xdr:cNvPr>
        <xdr:cNvSpPr txBox="1"/>
      </xdr:nvSpPr>
      <xdr:spPr>
        <a:xfrm>
          <a:off x="5565774" y="1654174"/>
          <a:ext cx="5981701" cy="1311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candidats à l’Abibac passent en allemand les épreuves spécifiques comptant à la fois pour le baccalauréat et l’Abitur allemand. Le taux de réussite est de 99,6 % en 2023. Si les élèves passent l’ensemble des épreuves avec succès, ils se voient remettre, outre le diplôme du baccalauréat, une attestation de succès à l’Abitur, délivrée par les autorités compétentes du Land de leur établissement partenaire. Les élèves de l'académie ont également la possibilité de suivre la section bachibac qui permet la délivrance simultanée du baccalauréat français et du bachillerato espagnol. En 2023 les 10 candidats qui se sont présentés ont obtenu leur diplôme.</a:t>
          </a:r>
        </a:p>
      </xdr:txBody>
    </xdr:sp>
    <xdr:clientData/>
  </xdr:twoCellAnchor>
  <xdr:twoCellAnchor>
    <xdr:from>
      <xdr:col>6</xdr:col>
      <xdr:colOff>415925</xdr:colOff>
      <xdr:row>16</xdr:row>
      <xdr:rowOff>6350</xdr:rowOff>
    </xdr:from>
    <xdr:to>
      <xdr:col>12</xdr:col>
      <xdr:colOff>742950</xdr:colOff>
      <xdr:row>21</xdr:row>
      <xdr:rowOff>6350</xdr:rowOff>
    </xdr:to>
    <xdr:sp macro="" textlink="">
      <xdr:nvSpPr>
        <xdr:cNvPr id="4" name="ZoneTexte 3">
          <a:extLst>
            <a:ext uri="{FF2B5EF4-FFF2-40B4-BE49-F238E27FC236}">
              <a16:creationId xmlns:a16="http://schemas.microsoft.com/office/drawing/2014/main" id="{EB32D562-3ED1-484B-A963-930C1F288BD7}"/>
            </a:ext>
          </a:extLst>
        </xdr:cNvPr>
        <xdr:cNvSpPr txBox="1"/>
      </xdr:nvSpPr>
      <xdr:spPr>
        <a:xfrm>
          <a:off x="5324475" y="3082925"/>
          <a:ext cx="4899025" cy="116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Depuis la rentrée 2014, dans la voie professionnelle, le dispositif Azubi-bacpro permet aux élèves et apprentis français et allemand d’obtenir, en plus du diplôme de leur pays d’origine, une attestation de compétences linguistiques liées à des situations de communication professionnelle, reconnue de l’autre côté de la frontière. En 2023, 69,8 % des 63 élèves de terminale suivant ce dispositif ont obtenu cette attestation de compétences.</a:t>
          </a:r>
        </a:p>
      </xdr:txBody>
    </xdr:sp>
    <xdr:clientData/>
  </xdr:twoCellAnchor>
  <xdr:twoCellAnchor>
    <xdr:from>
      <xdr:col>6</xdr:col>
      <xdr:colOff>403225</xdr:colOff>
      <xdr:row>21</xdr:row>
      <xdr:rowOff>69850</xdr:rowOff>
    </xdr:from>
    <xdr:to>
      <xdr:col>12</xdr:col>
      <xdr:colOff>682625</xdr:colOff>
      <xdr:row>28</xdr:row>
      <xdr:rowOff>44450</xdr:rowOff>
    </xdr:to>
    <xdr:sp macro="" textlink="">
      <xdr:nvSpPr>
        <xdr:cNvPr id="5" name="ZoneTexte 4">
          <a:extLst>
            <a:ext uri="{FF2B5EF4-FFF2-40B4-BE49-F238E27FC236}">
              <a16:creationId xmlns:a16="http://schemas.microsoft.com/office/drawing/2014/main" id="{A40D5184-25A2-4CCB-9B01-DF40ADDEAF5D}"/>
            </a:ext>
          </a:extLst>
        </xdr:cNvPr>
        <xdr:cNvSpPr txBox="1"/>
      </xdr:nvSpPr>
      <xdr:spPr>
        <a:xfrm>
          <a:off x="5546725" y="4184650"/>
          <a:ext cx="5080000" cy="122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chemeClr val="dk1"/>
              </a:solidFill>
              <a:latin typeface="+mn-lt"/>
              <a:ea typeface="+mn-ea"/>
              <a:cs typeface="+mn-cs"/>
            </a:rPr>
            <a:t>Les sections internationales représentent 2,0 % des présents au baccalauréat général</a:t>
          </a:r>
          <a:r>
            <a:rPr lang="fr-FR" sz="1100" b="0" i="0" u="none" strike="noStrike" baseline="0">
              <a:solidFill>
                <a:sysClr val="windowText" lastClr="000000"/>
              </a:solidFill>
              <a:latin typeface="+mn-lt"/>
              <a:ea typeface="+mn-ea"/>
              <a:cs typeface="+mn-cs"/>
            </a:rPr>
            <a:t>. Leur taux de réussite atteint 98,1% en 2023. La mention option internationale est automatiquement attribuée aux candidats admis. Dans l'académie elle existe dans six langues : anglais (42,9 % des présents), allemand (21,4 %), </a:t>
          </a:r>
          <a:r>
            <a:rPr lang="fr-FR" sz="1100" b="0" i="0" baseline="0">
              <a:solidFill>
                <a:sysClr val="windowText" lastClr="000000"/>
              </a:solidFill>
              <a:effectLst/>
              <a:latin typeface="+mn-lt"/>
              <a:ea typeface="+mn-ea"/>
              <a:cs typeface="+mn-cs"/>
            </a:rPr>
            <a:t>italien (12,9 %), russe (10,5 %), </a:t>
          </a:r>
          <a:r>
            <a:rPr lang="fr-FR" sz="1100" b="0" i="0" u="none" strike="noStrike" baseline="0">
              <a:solidFill>
                <a:sysClr val="windowText" lastClr="000000"/>
              </a:solidFill>
              <a:latin typeface="+mn-lt"/>
              <a:ea typeface="+mn-ea"/>
              <a:cs typeface="+mn-cs"/>
            </a:rPr>
            <a:t>espagnol (9,5 %) et polonais (2,9 %).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28574</xdr:colOff>
      <xdr:row>21</xdr:row>
      <xdr:rowOff>114300</xdr:rowOff>
    </xdr:from>
    <xdr:to>
      <xdr:col>6</xdr:col>
      <xdr:colOff>774700</xdr:colOff>
      <xdr:row>30</xdr:row>
      <xdr:rowOff>139700</xdr:rowOff>
    </xdr:to>
    <xdr:sp macro="" textlink="">
      <xdr:nvSpPr>
        <xdr:cNvPr id="3" name="ZoneTexte 2">
          <a:extLst>
            <a:ext uri="{FF2B5EF4-FFF2-40B4-BE49-F238E27FC236}">
              <a16:creationId xmlns:a16="http://schemas.microsoft.com/office/drawing/2014/main" id="{529A2681-E920-44E3-9B7C-2D64566CAEB5}"/>
            </a:ext>
          </a:extLst>
        </xdr:cNvPr>
        <xdr:cNvSpPr txBox="1"/>
      </xdr:nvSpPr>
      <xdr:spPr>
        <a:xfrm>
          <a:off x="28574" y="3536950"/>
          <a:ext cx="5546726" cy="145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100" b="0" i="0" u="none" strike="noStrike" baseline="0">
              <a:solidFill>
                <a:sysClr val="windowText" lastClr="000000"/>
              </a:solidFill>
              <a:latin typeface="+mn-lt"/>
              <a:ea typeface="+mn-ea"/>
              <a:cs typeface="+mn-cs"/>
            </a:rPr>
            <a:t>Uniquement inscrits au baccalauréat professionnel, les apprentis représentent 20,0 % des présents de cette voie en Alsace (14,3 % en France). Ils obtiennent plus souvent leur diplôme que les scolaires dans l’académie (86,2 % contre 82,2 %) tout comme au niveau national (83,7 % contre 82,7 %). Cette meilleure réussite </a:t>
          </a:r>
          <a:r>
            <a:rPr lang="fr-FR" sz="1100" b="0" i="0" baseline="0">
              <a:solidFill>
                <a:sysClr val="windowText" lastClr="000000"/>
              </a:solidFill>
              <a:effectLst/>
              <a:latin typeface="+mn-lt"/>
              <a:ea typeface="+mn-ea"/>
              <a:cs typeface="+mn-cs"/>
            </a:rPr>
            <a:t>des apprentis </a:t>
          </a:r>
          <a:r>
            <a:rPr lang="fr-FR" sz="1100" b="0" i="0" u="none" strike="noStrike" baseline="0">
              <a:solidFill>
                <a:sysClr val="windowText" lastClr="000000"/>
              </a:solidFill>
              <a:latin typeface="+mn-lt"/>
              <a:ea typeface="+mn-ea"/>
              <a:cs typeface="+mn-cs"/>
            </a:rPr>
            <a:t>s'observe exclusivement dans le domaine de la production, en Alsace (87,6 % contre 80,6 %), tout comme en France (84,4 % contre 81,4 %). Dans le domaine des services ce sont les scolaires qui affichent de meilleures réussites : 83,4 % contre 82,1 % dans l'académie et </a:t>
          </a:r>
          <a:r>
            <a:rPr lang="fr-FR" sz="1100" b="0" i="0" baseline="0">
              <a:solidFill>
                <a:sysClr val="windowText" lastClr="000000"/>
              </a:solidFill>
              <a:effectLst/>
              <a:latin typeface="+mn-lt"/>
              <a:ea typeface="+mn-ea"/>
              <a:cs typeface="+mn-cs"/>
            </a:rPr>
            <a:t>83,6 % contre 81,9 % au niveau national</a:t>
          </a:r>
          <a:r>
            <a:rPr lang="fr-FR" sz="1100" b="0" i="0" u="none" strike="noStrike" baseline="0">
              <a:solidFill>
                <a:sysClr val="windowText" lastClr="000000"/>
              </a:solidFill>
              <a:latin typeface="+mn-lt"/>
              <a:ea typeface="+mn-ea"/>
              <a:cs typeface="+mn-cs"/>
            </a:rPr>
            <a:t>.</a:t>
          </a:r>
        </a:p>
      </xdr:txBody>
    </xdr:sp>
    <xdr:clientData/>
  </xdr:twoCellAnchor>
  <xdr:twoCellAnchor>
    <xdr:from>
      <xdr:col>0</xdr:col>
      <xdr:colOff>0</xdr:colOff>
      <xdr:row>4</xdr:row>
      <xdr:rowOff>14287</xdr:rowOff>
    </xdr:from>
    <xdr:to>
      <xdr:col>6</xdr:col>
      <xdr:colOff>0</xdr:colOff>
      <xdr:row>20</xdr:row>
      <xdr:rowOff>109537</xdr:rowOff>
    </xdr:to>
    <xdr:graphicFrame macro="">
      <xdr:nvGraphicFramePr>
        <xdr:cNvPr id="2" name="Graphique 1">
          <a:extLst>
            <a:ext uri="{FF2B5EF4-FFF2-40B4-BE49-F238E27FC236}">
              <a16:creationId xmlns:a16="http://schemas.microsoft.com/office/drawing/2014/main" id="{43F810B9-D09F-4A30-92CB-3C66B9E66B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4</xdr:row>
      <xdr:rowOff>42862</xdr:rowOff>
    </xdr:from>
    <xdr:to>
      <xdr:col>11</xdr:col>
      <xdr:colOff>200025</xdr:colOff>
      <xdr:row>20</xdr:row>
      <xdr:rowOff>138112</xdr:rowOff>
    </xdr:to>
    <xdr:graphicFrame macro="">
      <xdr:nvGraphicFramePr>
        <xdr:cNvPr id="5" name="Graphique 4">
          <a:extLst>
            <a:ext uri="{FF2B5EF4-FFF2-40B4-BE49-F238E27FC236}">
              <a16:creationId xmlns:a16="http://schemas.microsoft.com/office/drawing/2014/main" id="{15BEDDCC-6267-4811-A5AE-D14BAD9A7F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73024</xdr:colOff>
      <xdr:row>0</xdr:row>
      <xdr:rowOff>130175</xdr:rowOff>
    </xdr:from>
    <xdr:to>
      <xdr:col>6</xdr:col>
      <xdr:colOff>92074</xdr:colOff>
      <xdr:row>11</xdr:row>
      <xdr:rowOff>31750</xdr:rowOff>
    </xdr:to>
    <xdr:sp macro="" textlink="">
      <xdr:nvSpPr>
        <xdr:cNvPr id="2" name="ZoneTexte 1">
          <a:extLst>
            <a:ext uri="{FF2B5EF4-FFF2-40B4-BE49-F238E27FC236}">
              <a16:creationId xmlns:a16="http://schemas.microsoft.com/office/drawing/2014/main" id="{7C84A70A-5F58-4A54-9FF9-1001FA82D894}"/>
            </a:ext>
          </a:extLst>
        </xdr:cNvPr>
        <xdr:cNvSpPr txBox="1"/>
      </xdr:nvSpPr>
      <xdr:spPr>
        <a:xfrm>
          <a:off x="73024" y="130175"/>
          <a:ext cx="4591050" cy="172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Les séries</a:t>
          </a:r>
        </a:p>
        <a:p>
          <a:r>
            <a:rPr lang="fr-FR" sz="1100" b="1" i="0" u="none" strike="noStrike" baseline="0">
              <a:solidFill>
                <a:schemeClr val="dk1"/>
              </a:solidFill>
              <a:latin typeface="+mn-lt"/>
              <a:ea typeface="+mn-ea"/>
              <a:cs typeface="+mn-cs"/>
            </a:rPr>
            <a:t>Baccalauréat technologique</a:t>
          </a:r>
        </a:p>
        <a:p>
          <a:r>
            <a:rPr lang="fr-FR" sz="1100" b="1" i="0" u="none" strike="noStrike" baseline="0">
              <a:solidFill>
                <a:schemeClr val="dk1"/>
              </a:solidFill>
              <a:latin typeface="+mn-lt"/>
              <a:ea typeface="+mn-ea"/>
              <a:cs typeface="+mn-cs"/>
            </a:rPr>
            <a:t>STMG : </a:t>
          </a:r>
          <a:r>
            <a:rPr lang="fr-FR" sz="1100" b="0" i="0" u="none" strike="noStrike" baseline="0">
              <a:solidFill>
                <a:schemeClr val="dk1"/>
              </a:solidFill>
              <a:latin typeface="+mn-lt"/>
              <a:ea typeface="+mn-ea"/>
              <a:cs typeface="+mn-cs"/>
            </a:rPr>
            <a:t>Sciences et technologies du management et de la gestion</a:t>
          </a:r>
        </a:p>
        <a:p>
          <a:r>
            <a:rPr lang="fr-FR" sz="1100" b="1" i="0" u="none" strike="noStrike" baseline="0">
              <a:solidFill>
                <a:schemeClr val="dk1"/>
              </a:solidFill>
              <a:latin typeface="+mn-lt"/>
              <a:ea typeface="+mn-ea"/>
              <a:cs typeface="+mn-cs"/>
            </a:rPr>
            <a:t>STAV : </a:t>
          </a:r>
          <a:r>
            <a:rPr lang="fr-FR" sz="1100" b="0" i="0" u="none" strike="noStrike" baseline="0">
              <a:solidFill>
                <a:schemeClr val="dk1"/>
              </a:solidFill>
              <a:latin typeface="+mn-lt"/>
              <a:ea typeface="+mn-ea"/>
              <a:cs typeface="+mn-cs"/>
            </a:rPr>
            <a:t>Sciences et technologies de l’agronomie et du vivant</a:t>
          </a:r>
        </a:p>
        <a:p>
          <a:r>
            <a:rPr lang="fr-FR" sz="1100" b="1" i="0" u="none" strike="noStrike" baseline="0">
              <a:solidFill>
                <a:schemeClr val="dk1"/>
              </a:solidFill>
              <a:latin typeface="+mn-lt"/>
              <a:ea typeface="+mn-ea"/>
              <a:cs typeface="+mn-cs"/>
            </a:rPr>
            <a:t>STD2A : </a:t>
          </a:r>
          <a:r>
            <a:rPr lang="fr-FR" sz="1100" b="0" i="0" u="none" strike="noStrike" baseline="0">
              <a:solidFill>
                <a:schemeClr val="dk1"/>
              </a:solidFill>
              <a:latin typeface="+mn-lt"/>
              <a:ea typeface="+mn-ea"/>
              <a:cs typeface="+mn-cs"/>
            </a:rPr>
            <a:t>Sciences et technologies du design et des arts appliqués</a:t>
          </a:r>
        </a:p>
        <a:p>
          <a:r>
            <a:rPr lang="fr-FR" sz="1100" b="1" i="0" u="none" strike="noStrike" baseline="0">
              <a:solidFill>
                <a:schemeClr val="dk1"/>
              </a:solidFill>
              <a:latin typeface="+mn-lt"/>
              <a:ea typeface="+mn-ea"/>
              <a:cs typeface="+mn-cs"/>
            </a:rPr>
            <a:t>STI2D : </a:t>
          </a:r>
          <a:r>
            <a:rPr lang="fr-FR" sz="1100" b="0" i="0" u="none" strike="noStrike" baseline="0">
              <a:solidFill>
                <a:schemeClr val="dk1"/>
              </a:solidFill>
              <a:latin typeface="+mn-lt"/>
              <a:ea typeface="+mn-ea"/>
              <a:cs typeface="+mn-cs"/>
            </a:rPr>
            <a:t>Sciences et technologies de l’industrie et du développement durable</a:t>
          </a:r>
        </a:p>
        <a:p>
          <a:r>
            <a:rPr lang="fr-FR" sz="1100" b="1" i="0" u="none" strike="noStrike" baseline="0">
              <a:solidFill>
                <a:schemeClr val="dk1"/>
              </a:solidFill>
              <a:latin typeface="+mn-lt"/>
              <a:ea typeface="+mn-ea"/>
              <a:cs typeface="+mn-cs"/>
            </a:rPr>
            <a:t>ST2S : </a:t>
          </a:r>
          <a:r>
            <a:rPr lang="fr-FR" sz="1100" b="0" i="0" u="none" strike="noStrike" baseline="0">
              <a:solidFill>
                <a:schemeClr val="dk1"/>
              </a:solidFill>
              <a:latin typeface="+mn-lt"/>
              <a:ea typeface="+mn-ea"/>
              <a:cs typeface="+mn-cs"/>
            </a:rPr>
            <a:t>Sciences et technologies de la santé et du social</a:t>
          </a:r>
        </a:p>
        <a:p>
          <a:r>
            <a:rPr lang="fr-FR" sz="1100" b="1" i="0" u="none" strike="noStrike" baseline="0">
              <a:solidFill>
                <a:schemeClr val="dk1"/>
              </a:solidFill>
              <a:latin typeface="+mn-lt"/>
              <a:ea typeface="+mn-ea"/>
              <a:cs typeface="+mn-cs"/>
            </a:rPr>
            <a:t>STL : </a:t>
          </a:r>
          <a:r>
            <a:rPr lang="fr-FR" sz="1100" b="0" i="0" u="none" strike="noStrike" baseline="0">
              <a:solidFill>
                <a:schemeClr val="dk1"/>
              </a:solidFill>
              <a:latin typeface="+mn-lt"/>
              <a:ea typeface="+mn-ea"/>
              <a:cs typeface="+mn-cs"/>
            </a:rPr>
            <a:t>Sciences et technologies de laboratoire</a:t>
          </a:r>
        </a:p>
        <a:p>
          <a:r>
            <a:rPr lang="fr-FR" sz="1100" b="1" i="0" u="none" strike="noStrike" baseline="0">
              <a:solidFill>
                <a:schemeClr val="dk1"/>
              </a:solidFill>
              <a:latin typeface="+mn-lt"/>
              <a:ea typeface="+mn-ea"/>
              <a:cs typeface="+mn-cs"/>
            </a:rPr>
            <a:t>STHR : </a:t>
          </a:r>
          <a:r>
            <a:rPr lang="fr-FR" sz="1100" b="0" i="0" u="none" strike="noStrike" baseline="0">
              <a:solidFill>
                <a:schemeClr val="dk1"/>
              </a:solidFill>
              <a:latin typeface="+mn-lt"/>
              <a:ea typeface="+mn-ea"/>
              <a:cs typeface="+mn-cs"/>
            </a:rPr>
            <a:t>Sciences et technologies de l’hôtellerie et de la restauration</a:t>
          </a:r>
          <a:endParaRPr lang="fr-FR" sz="1100"/>
        </a:p>
      </xdr:txBody>
    </xdr:sp>
    <xdr:clientData/>
  </xdr:twoCellAnchor>
  <xdr:twoCellAnchor>
    <xdr:from>
      <xdr:col>0</xdr:col>
      <xdr:colOff>88900</xdr:colOff>
      <xdr:row>12</xdr:row>
      <xdr:rowOff>0</xdr:rowOff>
    </xdr:from>
    <xdr:to>
      <xdr:col>6</xdr:col>
      <xdr:colOff>95250</xdr:colOff>
      <xdr:row>19</xdr:row>
      <xdr:rowOff>6350</xdr:rowOff>
    </xdr:to>
    <xdr:sp macro="" textlink="">
      <xdr:nvSpPr>
        <xdr:cNvPr id="3" name="ZoneTexte 2">
          <a:extLst>
            <a:ext uri="{FF2B5EF4-FFF2-40B4-BE49-F238E27FC236}">
              <a16:creationId xmlns:a16="http://schemas.microsoft.com/office/drawing/2014/main" id="{7DF1BCDF-8B76-49CE-A5F8-6C9D74B135FD}"/>
            </a:ext>
          </a:extLst>
        </xdr:cNvPr>
        <xdr:cNvSpPr txBox="1"/>
      </xdr:nvSpPr>
      <xdr:spPr>
        <a:xfrm>
          <a:off x="92075" y="1981200"/>
          <a:ext cx="4575175" cy="116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Sources</a:t>
          </a:r>
        </a:p>
        <a:p>
          <a:pPr rtl="0"/>
          <a:r>
            <a:rPr lang="fr-FR" sz="1100" b="0" i="0" u="none" strike="noStrike" baseline="0">
              <a:solidFill>
                <a:schemeClr val="dk1"/>
              </a:solidFill>
              <a:latin typeface="+mn-lt"/>
              <a:ea typeface="+mn-ea"/>
              <a:cs typeface="+mn-cs"/>
            </a:rPr>
            <a:t>Les données sont issues de l'application Cyclades, utilisée par le ministère de l’Éducation nationale et de la Jeunesse pour la gestion des baccalauréats relevant de sa tutelle, et du système Safran, utilisé par le ministère de l’Agriculture et de la Souveraineté Alimentaire pour la gestion de ses candidats.</a:t>
          </a:r>
        </a:p>
      </xdr:txBody>
    </xdr:sp>
    <xdr:clientData/>
  </xdr:twoCellAnchor>
  <xdr:twoCellAnchor>
    <xdr:from>
      <xdr:col>0</xdr:col>
      <xdr:colOff>98425</xdr:colOff>
      <xdr:row>19</xdr:row>
      <xdr:rowOff>123826</xdr:rowOff>
    </xdr:from>
    <xdr:to>
      <xdr:col>6</xdr:col>
      <xdr:colOff>98425</xdr:colOff>
      <xdr:row>38</xdr:row>
      <xdr:rowOff>47625</xdr:rowOff>
    </xdr:to>
    <xdr:sp macro="" textlink="">
      <xdr:nvSpPr>
        <xdr:cNvPr id="4" name="ZoneTexte 3">
          <a:extLst>
            <a:ext uri="{FF2B5EF4-FFF2-40B4-BE49-F238E27FC236}">
              <a16:creationId xmlns:a16="http://schemas.microsoft.com/office/drawing/2014/main" id="{47EAEE1F-E651-4C80-AE5B-37AA80590378}"/>
            </a:ext>
          </a:extLst>
        </xdr:cNvPr>
        <xdr:cNvSpPr txBox="1"/>
      </xdr:nvSpPr>
      <xdr:spPr>
        <a:xfrm>
          <a:off x="98425" y="3200401"/>
          <a:ext cx="4572000" cy="3000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u="none" strike="noStrike" baseline="0">
              <a:solidFill>
                <a:schemeClr val="dk1"/>
              </a:solidFill>
              <a:latin typeface="+mn-lt"/>
              <a:ea typeface="+mn-ea"/>
              <a:cs typeface="+mn-cs"/>
            </a:rPr>
            <a:t>Définitions</a:t>
          </a:r>
        </a:p>
        <a:p>
          <a:pPr rtl="0"/>
          <a:r>
            <a:rPr lang="fr-FR" sz="1100" b="1" i="0" u="none" strike="noStrike" baseline="0">
              <a:solidFill>
                <a:schemeClr val="dk1"/>
              </a:solidFill>
              <a:latin typeface="+mn-lt"/>
              <a:ea typeface="+mn-ea"/>
              <a:cs typeface="+mn-cs"/>
            </a:rPr>
            <a:t>Taux de réussite</a:t>
          </a:r>
          <a:r>
            <a:rPr lang="fr-FR" sz="1100" b="0" i="0" u="none" strike="noStrike" baseline="0">
              <a:solidFill>
                <a:schemeClr val="dk1"/>
              </a:solidFill>
              <a:latin typeface="+mn-lt"/>
              <a:ea typeface="+mn-ea"/>
              <a:cs typeface="+mn-cs"/>
            </a:rPr>
            <a:t> : rapport du nombre d’admis au nombre de candidats présents. On considère comme présent un candidat ayant participé au moins à une épreuve.</a:t>
          </a:r>
        </a:p>
        <a:p>
          <a:pPr rtl="0"/>
          <a:endParaRPr lang="fr-FR" sz="1100" b="1" i="0" u="none" strike="noStrike" baseline="0">
            <a:solidFill>
              <a:schemeClr val="dk1"/>
            </a:solidFill>
            <a:latin typeface="+mn-lt"/>
            <a:ea typeface="+mn-ea"/>
            <a:cs typeface="+mn-cs"/>
          </a:endParaRPr>
        </a:p>
        <a:p>
          <a:pPr rtl="0"/>
          <a:r>
            <a:rPr lang="fr-FR" sz="1100" b="1" i="0" u="none" strike="noStrike" baseline="0">
              <a:solidFill>
                <a:schemeClr val="dk1"/>
              </a:solidFill>
              <a:latin typeface="+mn-lt"/>
              <a:ea typeface="+mn-ea"/>
              <a:cs typeface="+mn-cs"/>
            </a:rPr>
            <a:t>L’origine sociale</a:t>
          </a:r>
          <a:r>
            <a:rPr lang="fr-FR" sz="1100" b="0" i="0" u="none" strike="noStrike" baseline="0">
              <a:solidFill>
                <a:schemeClr val="dk1"/>
              </a:solidFill>
              <a:latin typeface="+mn-lt"/>
              <a:ea typeface="+mn-ea"/>
              <a:cs typeface="+mn-cs"/>
            </a:rPr>
            <a:t> est déterminée à partir des professions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catégories socioprofessionnelles :</a:t>
          </a:r>
        </a:p>
        <a:p>
          <a:pPr rtl="0"/>
          <a:r>
            <a:rPr lang="fr-FR" sz="1100" b="1" i="0" u="none" strike="noStrike" baseline="0">
              <a:solidFill>
                <a:schemeClr val="dk1"/>
              </a:solidFill>
              <a:latin typeface="+mn-lt"/>
              <a:ea typeface="+mn-ea"/>
              <a:cs typeface="+mn-cs"/>
            </a:rPr>
            <a:t>Favorisée :</a:t>
          </a:r>
          <a:r>
            <a:rPr lang="fr-FR" sz="1100" b="0" i="0" u="none" strike="noStrike" baseline="0">
              <a:solidFill>
                <a:schemeClr val="dk1"/>
              </a:solidFill>
              <a:latin typeface="+mn-lt"/>
              <a:ea typeface="+mn-ea"/>
              <a:cs typeface="+mn-cs"/>
            </a:rPr>
            <a:t> chefs d’entreprise de dix salariés et plus, cadres et professions intellectuelles supérieures,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professeurs des écoles</a:t>
          </a:r>
        </a:p>
        <a:p>
          <a:pPr rtl="0"/>
          <a:r>
            <a:rPr lang="fr-FR" sz="1100" b="1" i="0" u="none" strike="noStrike" baseline="0">
              <a:solidFill>
                <a:schemeClr val="dk1"/>
              </a:solidFill>
              <a:latin typeface="+mn-lt"/>
              <a:ea typeface="+mn-ea"/>
              <a:cs typeface="+mn-cs"/>
            </a:rPr>
            <a:t>Plutôt favorisée :</a:t>
          </a:r>
          <a:r>
            <a:rPr lang="fr-FR" sz="1100" b="0" i="0" u="none" strike="noStrike" baseline="0">
              <a:solidFill>
                <a:schemeClr val="dk1"/>
              </a:solidFill>
              <a:latin typeface="+mn-lt"/>
              <a:ea typeface="+mn-ea"/>
              <a:cs typeface="+mn-cs"/>
            </a:rPr>
            <a:t> professions intermédiaires, retraités cadres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et des professions intermédiaires</a:t>
          </a:r>
        </a:p>
        <a:p>
          <a:pPr rtl="0"/>
          <a:r>
            <a:rPr lang="fr-FR" sz="1100" b="1" i="0" u="none" strike="noStrike" baseline="0">
              <a:solidFill>
                <a:schemeClr val="dk1"/>
              </a:solidFill>
              <a:latin typeface="+mn-lt"/>
              <a:ea typeface="+mn-ea"/>
              <a:cs typeface="+mn-cs"/>
            </a:rPr>
            <a:t>Moyenne :</a:t>
          </a:r>
          <a:r>
            <a:rPr lang="fr-FR" sz="1100" b="0" i="0" u="none" strike="noStrike" baseline="0">
              <a:solidFill>
                <a:schemeClr val="dk1"/>
              </a:solidFill>
              <a:latin typeface="+mn-lt"/>
              <a:ea typeface="+mn-ea"/>
              <a:cs typeface="+mn-cs"/>
            </a:rPr>
            <a:t> agriculteurs exploitants, artisans et </a:t>
          </a:r>
          <a:br>
            <a:rPr lang="fr-FR" sz="1100" b="0" i="0" u="none" strike="noStrike" baseline="0">
              <a:solidFill>
                <a:schemeClr val="dk1"/>
              </a:solidFill>
              <a:latin typeface="+mn-lt"/>
              <a:ea typeface="+mn-ea"/>
              <a:cs typeface="+mn-cs"/>
            </a:rPr>
          </a:br>
          <a:r>
            <a:rPr lang="fr-FR" sz="1100" b="0" i="0" u="none" strike="noStrike" baseline="0">
              <a:solidFill>
                <a:schemeClr val="dk1"/>
              </a:solidFill>
              <a:latin typeface="+mn-lt"/>
              <a:ea typeface="+mn-ea"/>
              <a:cs typeface="+mn-cs"/>
            </a:rPr>
            <a:t>commerçants, employés</a:t>
          </a:r>
        </a:p>
        <a:p>
          <a:pPr rtl="0"/>
          <a:r>
            <a:rPr lang="fr-FR" sz="1100" b="1" i="0" u="none" strike="noStrike" baseline="0">
              <a:solidFill>
                <a:schemeClr val="dk1"/>
              </a:solidFill>
              <a:latin typeface="+mn-lt"/>
              <a:ea typeface="+mn-ea"/>
              <a:cs typeface="+mn-cs"/>
            </a:rPr>
            <a:t>Défavorisée :</a:t>
          </a:r>
          <a:r>
            <a:rPr lang="fr-FR" sz="1100" b="0" i="0" u="none" strike="noStrike" baseline="0">
              <a:solidFill>
                <a:schemeClr val="dk1"/>
              </a:solidFill>
              <a:latin typeface="+mn-lt"/>
              <a:ea typeface="+mn-ea"/>
              <a:cs typeface="+mn-cs"/>
            </a:rPr>
            <a:t> ouvriers, retraités ouvriers et employés, chômeurs et autres inactifs</a:t>
          </a:r>
          <a:endParaRPr lang="fr-FR" sz="1100" baseline="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cle/Documents/Mes%20Documents/DOSSIER%20RESULTATS%20DEFINITIFS%20BAC/session%202022/FICHIERS/BAC2022%20DONN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o"/>
      <sheetName val="tab1"/>
    </sheetNames>
    <sheetDataSet>
      <sheetData sheetId="0"/>
      <sheetData sheetId="1">
        <row r="5">
          <cell r="N5" t="str">
            <v>BAC TECHNOLOGIQUE</v>
          </cell>
          <cell r="O5">
            <v>88.8</v>
          </cell>
          <cell r="P5">
            <v>91.7</v>
          </cell>
          <cell r="Q5">
            <v>93</v>
          </cell>
          <cell r="R5">
            <v>90.9</v>
          </cell>
          <cell r="S5">
            <v>90.9</v>
          </cell>
          <cell r="T5">
            <v>89.5</v>
          </cell>
          <cell r="U5">
            <v>89.9</v>
          </cell>
          <cell r="V5">
            <v>94.8</v>
          </cell>
          <cell r="W5">
            <v>93.4</v>
          </cell>
          <cell r="X5">
            <v>90.198123044838368</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CE94A-3D0B-4EC8-9B22-F28A533CD436}">
  <dimension ref="A1:A13"/>
  <sheetViews>
    <sheetView tabSelected="1" workbookViewId="0">
      <selection activeCell="H2" sqref="H2"/>
    </sheetView>
  </sheetViews>
  <sheetFormatPr baseColWidth="10" defaultRowHeight="15" x14ac:dyDescent="0.25"/>
  <cols>
    <col min="1" max="16384" width="11.42578125" style="30"/>
  </cols>
  <sheetData>
    <row r="1" spans="1:1" x14ac:dyDescent="0.25">
      <c r="A1" s="30" t="s">
        <v>71</v>
      </c>
    </row>
    <row r="2" spans="1:1" x14ac:dyDescent="0.25">
      <c r="A2" s="30" t="s">
        <v>72</v>
      </c>
    </row>
    <row r="3" spans="1:1" x14ac:dyDescent="0.25">
      <c r="A3" s="30" t="s">
        <v>73</v>
      </c>
    </row>
    <row r="4" spans="1:1" x14ac:dyDescent="0.25">
      <c r="A4" s="34" t="s">
        <v>74</v>
      </c>
    </row>
    <row r="5" spans="1:1" x14ac:dyDescent="0.25">
      <c r="A5" s="34" t="s">
        <v>85</v>
      </c>
    </row>
    <row r="8" spans="1:1" x14ac:dyDescent="0.25">
      <c r="A8" s="35" t="s">
        <v>77</v>
      </c>
    </row>
    <row r="9" spans="1:1" x14ac:dyDescent="0.25">
      <c r="A9" s="35" t="s">
        <v>78</v>
      </c>
    </row>
    <row r="10" spans="1:1" x14ac:dyDescent="0.25">
      <c r="A10" s="56" t="s">
        <v>76</v>
      </c>
    </row>
    <row r="11" spans="1:1" x14ac:dyDescent="0.25">
      <c r="A11" s="56" t="s">
        <v>75</v>
      </c>
    </row>
    <row r="12" spans="1:1" x14ac:dyDescent="0.25">
      <c r="A12" s="35" t="s">
        <v>86</v>
      </c>
    </row>
    <row r="13" spans="1:1" x14ac:dyDescent="0.25">
      <c r="A13" s="35" t="s">
        <v>87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D3D4-CFAA-40D3-A96A-CCA9CCB508D7}">
  <dimension ref="A1:T24"/>
  <sheetViews>
    <sheetView workbookViewId="0">
      <selection sqref="A1:XFD1048576"/>
    </sheetView>
  </sheetViews>
  <sheetFormatPr baseColWidth="10" defaultColWidth="11.42578125" defaultRowHeight="12.75" x14ac:dyDescent="0.2"/>
  <cols>
    <col min="1" max="7" width="11.42578125" style="131"/>
    <col min="8" max="8" width="9.28515625" style="131" bestFit="1" customWidth="1"/>
    <col min="9" max="9" width="25.28515625" style="131" bestFit="1" customWidth="1"/>
    <col min="10" max="10" width="11" style="131" customWidth="1"/>
    <col min="11" max="11" width="12.85546875" style="131" customWidth="1"/>
    <col min="12" max="16384" width="11.42578125" style="131"/>
  </cols>
  <sheetData>
    <row r="1" spans="1:20" x14ac:dyDescent="0.2">
      <c r="A1" s="130" t="s">
        <v>50</v>
      </c>
      <c r="N1" s="160"/>
      <c r="O1" s="161"/>
      <c r="P1" s="161"/>
      <c r="Q1" s="161"/>
      <c r="R1" s="161"/>
      <c r="S1" s="161"/>
      <c r="T1" s="161"/>
    </row>
    <row r="2" spans="1:20" x14ac:dyDescent="0.2">
      <c r="A2" s="132" t="s">
        <v>51</v>
      </c>
    </row>
    <row r="3" spans="1:20" x14ac:dyDescent="0.2">
      <c r="P3" s="131" t="s">
        <v>2</v>
      </c>
      <c r="Q3" s="131" t="s">
        <v>3</v>
      </c>
      <c r="R3" s="131" t="s">
        <v>1</v>
      </c>
    </row>
    <row r="4" spans="1:20" x14ac:dyDescent="0.2">
      <c r="C4" s="120" t="s">
        <v>60</v>
      </c>
      <c r="I4" s="131" t="s">
        <v>5</v>
      </c>
      <c r="N4" s="162" t="s">
        <v>4</v>
      </c>
      <c r="O4" s="131" t="s">
        <v>52</v>
      </c>
      <c r="P4" s="36">
        <v>87.6</v>
      </c>
      <c r="Q4" s="36">
        <v>82.1</v>
      </c>
      <c r="R4" s="36">
        <v>86.2</v>
      </c>
    </row>
    <row r="5" spans="1:20" x14ac:dyDescent="0.2">
      <c r="N5" s="162"/>
      <c r="O5" s="131" t="s">
        <v>53</v>
      </c>
      <c r="P5" s="36">
        <v>80.599999999999994</v>
      </c>
      <c r="Q5" s="36">
        <v>83.4</v>
      </c>
      <c r="R5" s="36">
        <v>82.2</v>
      </c>
    </row>
    <row r="6" spans="1:20" x14ac:dyDescent="0.2">
      <c r="N6" s="163"/>
      <c r="P6" s="36"/>
      <c r="Q6" s="36"/>
      <c r="R6" s="36"/>
    </row>
    <row r="7" spans="1:20" x14ac:dyDescent="0.2">
      <c r="N7" s="163"/>
      <c r="P7" s="131" t="s">
        <v>2</v>
      </c>
      <c r="Q7" s="131" t="s">
        <v>3</v>
      </c>
      <c r="R7" s="131" t="s">
        <v>1</v>
      </c>
    </row>
    <row r="8" spans="1:20" x14ac:dyDescent="0.2">
      <c r="N8" s="162" t="s">
        <v>5</v>
      </c>
      <c r="O8" s="131" t="s">
        <v>52</v>
      </c>
      <c r="P8" s="36">
        <v>84.4</v>
      </c>
      <c r="Q8" s="36">
        <v>81.900000000000006</v>
      </c>
      <c r="R8" s="36">
        <v>83.7</v>
      </c>
    </row>
    <row r="9" spans="1:20" x14ac:dyDescent="0.2">
      <c r="N9" s="162"/>
      <c r="O9" s="131" t="s">
        <v>53</v>
      </c>
      <c r="P9" s="36">
        <v>81.400000000000006</v>
      </c>
      <c r="Q9" s="36">
        <v>83.6</v>
      </c>
      <c r="R9" s="36">
        <v>82.7</v>
      </c>
    </row>
    <row r="13" spans="1:20" ht="15" x14ac:dyDescent="0.25">
      <c r="M13" s="164"/>
      <c r="N13" s="133"/>
      <c r="O13" s="165"/>
    </row>
    <row r="14" spans="1:20" ht="15" x14ac:dyDescent="0.25">
      <c r="O14" s="133"/>
      <c r="P14" s="165"/>
      <c r="Q14" s="166"/>
    </row>
    <row r="15" spans="1:20" ht="15" x14ac:dyDescent="0.25">
      <c r="J15" s="133"/>
      <c r="K15" s="165"/>
      <c r="L15" s="166"/>
      <c r="O15" s="166"/>
      <c r="P15" s="166"/>
    </row>
    <row r="16" spans="1:20" x14ac:dyDescent="0.2">
      <c r="J16" s="166"/>
      <c r="K16" s="166"/>
      <c r="O16" s="36"/>
      <c r="P16" s="36"/>
    </row>
    <row r="17" spans="9:17" x14ac:dyDescent="0.2">
      <c r="J17" s="36"/>
      <c r="K17" s="36"/>
      <c r="O17" s="36"/>
      <c r="P17" s="36"/>
    </row>
    <row r="18" spans="9:17" x14ac:dyDescent="0.2">
      <c r="J18" s="36"/>
      <c r="K18" s="36"/>
      <c r="O18" s="36"/>
      <c r="P18" s="36"/>
    </row>
    <row r="19" spans="9:17" x14ac:dyDescent="0.2">
      <c r="J19" s="36"/>
      <c r="K19" s="36"/>
      <c r="P19" s="36"/>
      <c r="Q19" s="36"/>
    </row>
    <row r="21" spans="9:17" x14ac:dyDescent="0.2">
      <c r="O21" s="166"/>
      <c r="P21" s="166"/>
    </row>
    <row r="22" spans="9:17" x14ac:dyDescent="0.2">
      <c r="I22" s="167"/>
      <c r="O22" s="36"/>
      <c r="P22" s="36"/>
    </row>
    <row r="23" spans="9:17" x14ac:dyDescent="0.2">
      <c r="O23" s="36"/>
      <c r="P23" s="36"/>
    </row>
    <row r="24" spans="9:17" x14ac:dyDescent="0.2">
      <c r="O24" s="36"/>
      <c r="P24" s="36"/>
    </row>
  </sheetData>
  <mergeCells count="5">
    <mergeCell ref="N4:N5"/>
    <mergeCell ref="N8:N9"/>
    <mergeCell ref="J15:K15"/>
    <mergeCell ref="N13:O13"/>
    <mergeCell ref="O14:P1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C617-8D12-4CAF-8355-DCE11046614F}">
  <dimension ref="A1"/>
  <sheetViews>
    <sheetView workbookViewId="0"/>
  </sheetViews>
  <sheetFormatPr baseColWidth="10" defaultColWidth="11.42578125" defaultRowHeight="12.75" x14ac:dyDescent="0.2"/>
  <cols>
    <col min="1" max="16384" width="11.42578125" style="1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7E36F-9F8E-409F-83D4-6331EDDEAF99}">
  <sheetPr>
    <pageSetUpPr fitToPage="1"/>
  </sheetPr>
  <dimension ref="A1:T25"/>
  <sheetViews>
    <sheetView workbookViewId="0">
      <selection activeCell="D32" sqref="D32"/>
    </sheetView>
  </sheetViews>
  <sheetFormatPr baseColWidth="10" defaultRowHeight="15" x14ac:dyDescent="0.25"/>
  <cols>
    <col min="1" max="9" width="11.42578125" style="30"/>
    <col min="10" max="10" width="28.5703125" style="30" bestFit="1" customWidth="1"/>
    <col min="11" max="16384" width="11.42578125" style="30"/>
  </cols>
  <sheetData>
    <row r="1" spans="1:20" x14ac:dyDescent="0.25">
      <c r="A1" s="35" t="s">
        <v>8</v>
      </c>
    </row>
    <row r="2" spans="1:20" x14ac:dyDescent="0.25">
      <c r="B2" s="35" t="s">
        <v>79</v>
      </c>
    </row>
    <row r="3" spans="1:20" x14ac:dyDescent="0.25">
      <c r="J3" s="57"/>
      <c r="K3" s="58" t="s">
        <v>15</v>
      </c>
      <c r="L3" s="58" t="s">
        <v>16</v>
      </c>
      <c r="M3" s="58" t="s">
        <v>17</v>
      </c>
      <c r="N3" s="58" t="s">
        <v>18</v>
      </c>
      <c r="O3" s="58" t="s">
        <v>19</v>
      </c>
      <c r="P3" s="58" t="s">
        <v>20</v>
      </c>
      <c r="Q3" s="58" t="s">
        <v>21</v>
      </c>
      <c r="R3" s="58" t="s">
        <v>27</v>
      </c>
      <c r="S3" s="58" t="s">
        <v>54</v>
      </c>
      <c r="T3" s="58" t="s">
        <v>67</v>
      </c>
    </row>
    <row r="4" spans="1:20" x14ac:dyDescent="0.25">
      <c r="J4" s="58" t="s">
        <v>22</v>
      </c>
      <c r="K4" s="59">
        <v>92.8</v>
      </c>
      <c r="L4" s="59">
        <v>93.5</v>
      </c>
      <c r="M4" s="59">
        <v>93.2</v>
      </c>
      <c r="N4" s="59">
        <v>93.1</v>
      </c>
      <c r="O4" s="59">
        <v>92.7</v>
      </c>
      <c r="P4" s="59">
        <v>92.9</v>
      </c>
      <c r="Q4" s="59">
        <v>97.6</v>
      </c>
      <c r="R4" s="59">
        <v>97.7</v>
      </c>
      <c r="S4" s="60">
        <f>9498/9855*100</f>
        <v>96.37747336377474</v>
      </c>
      <c r="T4" s="59">
        <v>96</v>
      </c>
    </row>
    <row r="5" spans="1:20" x14ac:dyDescent="0.25">
      <c r="J5" s="58" t="s">
        <v>23</v>
      </c>
      <c r="K5" s="59">
        <v>91.7</v>
      </c>
      <c r="L5" s="61">
        <v>93</v>
      </c>
      <c r="M5" s="59">
        <v>90.9</v>
      </c>
      <c r="N5" s="59">
        <v>90.9</v>
      </c>
      <c r="O5" s="59">
        <v>89.5</v>
      </c>
      <c r="P5" s="59">
        <v>89.9</v>
      </c>
      <c r="Q5" s="59">
        <v>94.8</v>
      </c>
      <c r="R5" s="59">
        <v>93.4</v>
      </c>
      <c r="S5" s="60">
        <f>3460/3836*100</f>
        <v>90.198123044838368</v>
      </c>
      <c r="T5" s="59">
        <v>90</v>
      </c>
    </row>
    <row r="6" spans="1:20" x14ac:dyDescent="0.25">
      <c r="J6" s="58" t="s">
        <v>24</v>
      </c>
      <c r="K6" s="59">
        <v>82.7</v>
      </c>
      <c r="L6" s="59">
        <v>80.5</v>
      </c>
      <c r="M6" s="59">
        <v>83.8</v>
      </c>
      <c r="N6" s="59">
        <v>81.900000000000006</v>
      </c>
      <c r="O6" s="59">
        <v>83.5</v>
      </c>
      <c r="P6" s="59">
        <v>82.6</v>
      </c>
      <c r="Q6" s="59">
        <v>90.1</v>
      </c>
      <c r="R6" s="59">
        <v>86.1</v>
      </c>
      <c r="S6" s="60">
        <f>4516/5485*100</f>
        <v>82.333637192342763</v>
      </c>
      <c r="T6" s="59">
        <v>82.8</v>
      </c>
    </row>
    <row r="7" spans="1:20" x14ac:dyDescent="0.25">
      <c r="J7" s="58" t="s">
        <v>25</v>
      </c>
      <c r="K7" s="59">
        <v>89.3</v>
      </c>
      <c r="L7" s="59">
        <v>89.4</v>
      </c>
      <c r="M7" s="59">
        <v>89.9</v>
      </c>
      <c r="N7" s="59">
        <v>89.3</v>
      </c>
      <c r="O7" s="59">
        <v>89.4</v>
      </c>
      <c r="P7" s="59">
        <v>89.4</v>
      </c>
      <c r="Q7" s="61">
        <v>95</v>
      </c>
      <c r="R7" s="62">
        <v>93.5</v>
      </c>
      <c r="S7" s="62">
        <v>91.1</v>
      </c>
      <c r="T7" s="62">
        <v>91.2</v>
      </c>
    </row>
    <row r="8" spans="1:20" x14ac:dyDescent="0.25">
      <c r="J8" s="58" t="s">
        <v>26</v>
      </c>
      <c r="K8" s="61">
        <v>88</v>
      </c>
      <c r="L8" s="59">
        <v>87.9</v>
      </c>
      <c r="M8" s="59">
        <v>88.5</v>
      </c>
      <c r="N8" s="59">
        <v>87.8</v>
      </c>
      <c r="O8" s="59">
        <v>88.2</v>
      </c>
      <c r="P8" s="61">
        <v>88</v>
      </c>
      <c r="Q8" s="61">
        <v>95</v>
      </c>
      <c r="R8" s="62">
        <v>93.7</v>
      </c>
      <c r="S8" s="63">
        <v>91</v>
      </c>
      <c r="T8" s="62">
        <v>90.7</v>
      </c>
    </row>
    <row r="24" spans="1:1" x14ac:dyDescent="0.25">
      <c r="A24" s="30" t="s">
        <v>80</v>
      </c>
    </row>
    <row r="25" spans="1:1" x14ac:dyDescent="0.25">
      <c r="A25" s="30" t="s">
        <v>81</v>
      </c>
    </row>
  </sheetData>
  <pageMargins left="0.7" right="0.7" top="0.75" bottom="0.75" header="0.3" footer="0.3"/>
  <pageSetup paperSize="9" scale="9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55C6-B717-4C4E-BEF4-12568C912EC8}">
  <dimension ref="A1:K16"/>
  <sheetViews>
    <sheetView workbookViewId="0">
      <selection sqref="A1:XFD1048576"/>
    </sheetView>
  </sheetViews>
  <sheetFormatPr baseColWidth="10" defaultRowHeight="15" x14ac:dyDescent="0.25"/>
  <cols>
    <col min="1" max="1" width="15.7109375" style="30" customWidth="1"/>
    <col min="2" max="2" width="12.28515625" style="30" customWidth="1"/>
    <col min="3" max="3" width="9.85546875" style="30" bestFit="1" customWidth="1"/>
    <col min="4" max="4" width="9.85546875" style="30" customWidth="1"/>
    <col min="5" max="5" width="10.85546875" style="30" customWidth="1"/>
    <col min="6" max="6" width="9.85546875" style="30" bestFit="1" customWidth="1"/>
    <col min="7" max="16384" width="11.42578125" style="30"/>
  </cols>
  <sheetData>
    <row r="1" spans="1:11" x14ac:dyDescent="0.25">
      <c r="A1" s="35" t="s">
        <v>9</v>
      </c>
    </row>
    <row r="2" spans="1:11" x14ac:dyDescent="0.25">
      <c r="A2" s="17" t="s">
        <v>69</v>
      </c>
    </row>
    <row r="3" spans="1:11" x14ac:dyDescent="0.25">
      <c r="A3" s="17"/>
    </row>
    <row r="4" spans="1:11" x14ac:dyDescent="0.25">
      <c r="A4" s="64"/>
      <c r="B4" s="39" t="s">
        <v>88</v>
      </c>
      <c r="C4" s="40"/>
      <c r="D4" s="41" t="s">
        <v>89</v>
      </c>
      <c r="E4" s="42"/>
    </row>
    <row r="5" spans="1:11" ht="38.25" x14ac:dyDescent="0.25">
      <c r="A5" s="1" t="s">
        <v>90</v>
      </c>
      <c r="B5" s="2" t="s">
        <v>91</v>
      </c>
      <c r="C5" s="65" t="s">
        <v>68</v>
      </c>
      <c r="D5" s="33" t="s">
        <v>91</v>
      </c>
      <c r="E5" s="66" t="s">
        <v>68</v>
      </c>
    </row>
    <row r="6" spans="1:11" x14ac:dyDescent="0.25">
      <c r="A6" s="3" t="s">
        <v>92</v>
      </c>
      <c r="B6" s="67">
        <v>96.1</v>
      </c>
      <c r="C6" s="68">
        <v>-0.6</v>
      </c>
      <c r="D6" s="67">
        <v>95.8</v>
      </c>
      <c r="E6" s="69">
        <v>-0.1</v>
      </c>
    </row>
    <row r="7" spans="1:11" x14ac:dyDescent="0.25">
      <c r="A7" s="3" t="s">
        <v>93</v>
      </c>
      <c r="B7" s="67">
        <v>90</v>
      </c>
      <c r="C7" s="68">
        <v>-0.2</v>
      </c>
      <c r="D7" s="67">
        <v>90</v>
      </c>
      <c r="E7" s="69">
        <v>-0.2</v>
      </c>
    </row>
    <row r="8" spans="1:11" x14ac:dyDescent="0.25">
      <c r="A8" s="4" t="s">
        <v>94</v>
      </c>
      <c r="B8" s="70">
        <v>81.900000000000006</v>
      </c>
      <c r="C8" s="68">
        <v>0.1</v>
      </c>
      <c r="D8" s="70">
        <v>84</v>
      </c>
      <c r="E8" s="69">
        <v>0.9</v>
      </c>
    </row>
    <row r="9" spans="1:11" x14ac:dyDescent="0.25">
      <c r="A9" s="5" t="s">
        <v>1</v>
      </c>
      <c r="B9" s="71">
        <v>91.2</v>
      </c>
      <c r="C9" s="72">
        <v>-0.1</v>
      </c>
      <c r="D9" s="71">
        <v>91.3</v>
      </c>
      <c r="E9" s="73">
        <v>0.4</v>
      </c>
    </row>
    <row r="10" spans="1:11" x14ac:dyDescent="0.25">
      <c r="K10" s="74"/>
    </row>
    <row r="11" spans="1:11" x14ac:dyDescent="0.25">
      <c r="A11" s="30" t="s">
        <v>95</v>
      </c>
    </row>
    <row r="12" spans="1:11" x14ac:dyDescent="0.25">
      <c r="A12" s="30" t="s">
        <v>82</v>
      </c>
    </row>
    <row r="16" spans="1:11" ht="15" customHeight="1" x14ac:dyDescent="0.25"/>
  </sheetData>
  <mergeCells count="2">
    <mergeCell ref="B4:C4"/>
    <mergeCell ref="D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60E86-D055-4D5A-AF51-DC1713FD2337}">
  <dimension ref="A1:H35"/>
  <sheetViews>
    <sheetView workbookViewId="0">
      <selection activeCell="I33" sqref="I33"/>
    </sheetView>
  </sheetViews>
  <sheetFormatPr baseColWidth="10" defaultRowHeight="15" x14ac:dyDescent="0.25"/>
  <cols>
    <col min="1" max="1" width="16.28515625" style="30" customWidth="1"/>
    <col min="2" max="3" width="11.42578125" style="30"/>
    <col min="4" max="4" width="5.140625" style="30" customWidth="1"/>
    <col min="5" max="5" width="11.42578125" style="30"/>
    <col min="6" max="7" width="11.42578125" style="75"/>
    <col min="8" max="8" width="14.42578125" style="75" customWidth="1"/>
    <col min="9" max="16384" width="11.42578125" style="30"/>
  </cols>
  <sheetData>
    <row r="1" spans="1:8" x14ac:dyDescent="0.25">
      <c r="A1" s="35" t="s">
        <v>10</v>
      </c>
    </row>
    <row r="2" spans="1:8" x14ac:dyDescent="0.25">
      <c r="B2" s="35" t="s">
        <v>83</v>
      </c>
    </row>
    <row r="3" spans="1:8" x14ac:dyDescent="0.25">
      <c r="B3" s="35"/>
    </row>
    <row r="4" spans="1:8" ht="15" customHeight="1" x14ac:dyDescent="0.25">
      <c r="A4" s="76"/>
      <c r="B4" s="45" t="s">
        <v>4</v>
      </c>
      <c r="C4" s="45"/>
      <c r="D4" s="45"/>
      <c r="E4" s="37"/>
      <c r="F4" s="77" t="s">
        <v>70</v>
      </c>
      <c r="G4" s="46"/>
      <c r="H4" s="43" t="s">
        <v>64</v>
      </c>
    </row>
    <row r="5" spans="1:8" ht="21" customHeight="1" x14ac:dyDescent="0.25">
      <c r="A5" s="47" t="s">
        <v>96</v>
      </c>
      <c r="B5" s="48"/>
      <c r="C5" s="49" t="s">
        <v>97</v>
      </c>
      <c r="D5" s="50" t="s">
        <v>91</v>
      </c>
      <c r="E5" s="78" t="s">
        <v>68</v>
      </c>
      <c r="F5" s="50" t="s">
        <v>91</v>
      </c>
      <c r="G5" s="78" t="s">
        <v>68</v>
      </c>
      <c r="H5" s="44"/>
    </row>
    <row r="6" spans="1:8" ht="21" customHeight="1" x14ac:dyDescent="0.25">
      <c r="A6" s="47"/>
      <c r="B6" s="48"/>
      <c r="C6" s="49"/>
      <c r="D6" s="50"/>
      <c r="E6" s="79"/>
      <c r="F6" s="50"/>
      <c r="G6" s="79"/>
      <c r="H6" s="80">
        <v>2023</v>
      </c>
    </row>
    <row r="7" spans="1:8" ht="14.45" customHeight="1" x14ac:dyDescent="0.25">
      <c r="A7" s="12" t="s">
        <v>0</v>
      </c>
      <c r="B7" s="81">
        <v>10432</v>
      </c>
      <c r="C7" s="81">
        <v>10016</v>
      </c>
      <c r="D7" s="82">
        <f>C7/B7*100</f>
        <v>96.012269938650306</v>
      </c>
      <c r="E7" s="82">
        <v>-0.4</v>
      </c>
      <c r="F7" s="82">
        <v>95.5</v>
      </c>
      <c r="G7" s="82">
        <f>95.5-96</f>
        <v>-0.5</v>
      </c>
      <c r="H7" s="83">
        <v>13</v>
      </c>
    </row>
    <row r="8" spans="1:8" ht="14.45" customHeight="1" x14ac:dyDescent="0.25">
      <c r="B8" s="84"/>
      <c r="C8" s="84"/>
      <c r="D8" s="84"/>
      <c r="E8" s="85"/>
      <c r="F8" s="85"/>
      <c r="G8" s="85"/>
      <c r="H8" s="30"/>
    </row>
    <row r="9" spans="1:8" x14ac:dyDescent="0.25">
      <c r="A9" s="12" t="s">
        <v>98</v>
      </c>
      <c r="B9" s="81">
        <v>3894</v>
      </c>
      <c r="C9" s="81">
        <v>3504</v>
      </c>
      <c r="D9" s="82">
        <f>C9/B9*100</f>
        <v>89.984591679506934</v>
      </c>
      <c r="E9" s="82">
        <v>-0.2</v>
      </c>
      <c r="F9" s="82">
        <v>89.5</v>
      </c>
      <c r="G9" s="82">
        <f>89.5-90.4</f>
        <v>-0.90000000000000568</v>
      </c>
      <c r="H9" s="83">
        <v>19</v>
      </c>
    </row>
    <row r="10" spans="1:8" x14ac:dyDescent="0.25">
      <c r="A10" s="6" t="s">
        <v>99</v>
      </c>
      <c r="B10" s="86">
        <v>1803</v>
      </c>
      <c r="C10" s="87">
        <v>1583</v>
      </c>
      <c r="D10" s="88">
        <f t="shared" ref="D10:D16" si="0">C10/B10*100</f>
        <v>87.798114254021073</v>
      </c>
      <c r="E10" s="89">
        <f>D10-90.1</f>
        <v>-2.3018857459789217</v>
      </c>
      <c r="F10" s="88">
        <v>87.5</v>
      </c>
      <c r="G10" s="89">
        <f>87.5-89.3</f>
        <v>-1.7999999999999972</v>
      </c>
      <c r="H10" s="30">
        <v>14</v>
      </c>
    </row>
    <row r="11" spans="1:8" x14ac:dyDescent="0.25">
      <c r="A11" s="7" t="s">
        <v>100</v>
      </c>
      <c r="B11" s="90">
        <v>113</v>
      </c>
      <c r="C11" s="91">
        <v>110</v>
      </c>
      <c r="D11" s="92">
        <f t="shared" si="0"/>
        <v>97.345132743362825</v>
      </c>
      <c r="E11" s="93">
        <f>D11-97.9</f>
        <v>-0.55486725663718062</v>
      </c>
      <c r="F11" s="94">
        <v>97.1</v>
      </c>
      <c r="G11" s="94">
        <f>97.1-97.3</f>
        <v>-0.20000000000000284</v>
      </c>
      <c r="H11" s="32">
        <v>16</v>
      </c>
    </row>
    <row r="12" spans="1:8" x14ac:dyDescent="0.25">
      <c r="A12" s="6" t="s">
        <v>101</v>
      </c>
      <c r="B12" s="95">
        <v>559</v>
      </c>
      <c r="C12" s="96">
        <v>510</v>
      </c>
      <c r="D12" s="88">
        <f t="shared" si="0"/>
        <v>91.234347048300535</v>
      </c>
      <c r="E12" s="89">
        <f>D12-92.2</f>
        <v>-0.96565295169946808</v>
      </c>
      <c r="F12" s="88">
        <v>90.5</v>
      </c>
      <c r="G12" s="89">
        <f>90.5-90.8</f>
        <v>-0.29999999999999716</v>
      </c>
      <c r="H12" s="30">
        <v>18</v>
      </c>
    </row>
    <row r="13" spans="1:8" x14ac:dyDescent="0.25">
      <c r="A13" s="7" t="s">
        <v>102</v>
      </c>
      <c r="B13" s="90">
        <v>290</v>
      </c>
      <c r="C13" s="91">
        <v>245</v>
      </c>
      <c r="D13" s="92">
        <f t="shared" si="0"/>
        <v>84.482758620689651</v>
      </c>
      <c r="E13" s="93">
        <f>D13-83.4</f>
        <v>1.0827586206896456</v>
      </c>
      <c r="F13" s="94">
        <v>90.1</v>
      </c>
      <c r="G13" s="94">
        <f>90.1-90.4</f>
        <v>-0.30000000000001137</v>
      </c>
      <c r="H13" s="32">
        <v>25</v>
      </c>
    </row>
    <row r="14" spans="1:8" x14ac:dyDescent="0.25">
      <c r="A14" s="6" t="s">
        <v>103</v>
      </c>
      <c r="B14" s="95">
        <v>905</v>
      </c>
      <c r="C14" s="96">
        <v>837</v>
      </c>
      <c r="D14" s="88">
        <f t="shared" si="0"/>
        <v>92.486187845303874</v>
      </c>
      <c r="E14" s="89">
        <f>D14-88.7</f>
        <v>3.7861878453038713</v>
      </c>
      <c r="F14" s="88">
        <v>91.3</v>
      </c>
      <c r="G14" s="89">
        <f>91.3-90.6</f>
        <v>0.70000000000000284</v>
      </c>
      <c r="H14" s="30">
        <v>14</v>
      </c>
    </row>
    <row r="15" spans="1:8" x14ac:dyDescent="0.25">
      <c r="A15" s="7" t="s">
        <v>104</v>
      </c>
      <c r="B15" s="90">
        <v>97</v>
      </c>
      <c r="C15" s="91">
        <v>97</v>
      </c>
      <c r="D15" s="92">
        <f t="shared" si="0"/>
        <v>100</v>
      </c>
      <c r="E15" s="93">
        <f>D15-99</f>
        <v>1</v>
      </c>
      <c r="F15" s="94">
        <v>97.3</v>
      </c>
      <c r="G15" s="89">
        <f>97.3-96.6</f>
        <v>0.70000000000000284</v>
      </c>
      <c r="H15" s="32">
        <v>1</v>
      </c>
    </row>
    <row r="16" spans="1:8" x14ac:dyDescent="0.25">
      <c r="A16" s="6" t="s">
        <v>105</v>
      </c>
      <c r="B16" s="97">
        <v>127</v>
      </c>
      <c r="C16" s="98">
        <v>122</v>
      </c>
      <c r="D16" s="88">
        <f t="shared" si="0"/>
        <v>96.062992125984252</v>
      </c>
      <c r="E16" s="99">
        <f>D16-98.9</f>
        <v>-2.8370078740157538</v>
      </c>
      <c r="F16" s="100">
        <v>95.4</v>
      </c>
      <c r="G16" s="89">
        <f>95.4-96.8</f>
        <v>-1.3999999999999915</v>
      </c>
      <c r="H16" s="30">
        <v>14</v>
      </c>
    </row>
    <row r="17" spans="1:8" x14ac:dyDescent="0.25">
      <c r="B17" s="84"/>
      <c r="C17" s="84"/>
      <c r="D17" s="84"/>
      <c r="E17" s="85"/>
      <c r="F17" s="85"/>
      <c r="G17" s="85"/>
      <c r="H17" s="30"/>
    </row>
    <row r="18" spans="1:8" x14ac:dyDescent="0.25">
      <c r="A18" s="12" t="s">
        <v>106</v>
      </c>
      <c r="B18" s="101">
        <v>5321</v>
      </c>
      <c r="C18" s="101">
        <v>4407</v>
      </c>
      <c r="D18" s="102">
        <f>C18/B18*100</f>
        <v>82.822777673369657</v>
      </c>
      <c r="E18" s="103">
        <f>D18-82.3</f>
        <v>0.52277767336966008</v>
      </c>
      <c r="F18" s="82">
        <v>82.6</v>
      </c>
      <c r="G18" s="103">
        <f>82.6-82.2</f>
        <v>0.39999999999999147</v>
      </c>
      <c r="H18" s="83">
        <v>15</v>
      </c>
    </row>
    <row r="19" spans="1:8" x14ac:dyDescent="0.25">
      <c r="A19" s="6" t="s">
        <v>2</v>
      </c>
      <c r="B19" s="86">
        <v>2515</v>
      </c>
      <c r="C19" s="87">
        <v>2083</v>
      </c>
      <c r="D19" s="88">
        <f>C19/B19*100</f>
        <v>82.823061630218689</v>
      </c>
      <c r="E19" s="89">
        <f>D19-81.3</f>
        <v>1.5230616302186917</v>
      </c>
      <c r="F19" s="88">
        <v>82</v>
      </c>
      <c r="G19" s="89">
        <f>82-81.3</f>
        <v>0.70000000000000284</v>
      </c>
      <c r="H19" s="30">
        <v>13</v>
      </c>
    </row>
    <row r="20" spans="1:8" x14ac:dyDescent="0.25">
      <c r="A20" s="7" t="s">
        <v>3</v>
      </c>
      <c r="B20" s="104">
        <v>2806</v>
      </c>
      <c r="C20" s="105">
        <v>2324</v>
      </c>
      <c r="D20" s="92">
        <f>C20/B20*100</f>
        <v>82.822523164647194</v>
      </c>
      <c r="E20" s="93">
        <f>D20-83.3</f>
        <v>-0.47747683535280316</v>
      </c>
      <c r="F20" s="94">
        <v>83.1</v>
      </c>
      <c r="G20" s="94">
        <f>83.1-83.1</f>
        <v>0</v>
      </c>
      <c r="H20" s="30">
        <v>18</v>
      </c>
    </row>
    <row r="21" spans="1:8" x14ac:dyDescent="0.25">
      <c r="B21" s="84"/>
      <c r="C21" s="84"/>
      <c r="D21" s="84"/>
      <c r="E21" s="85"/>
      <c r="F21" s="85"/>
      <c r="G21" s="85"/>
      <c r="H21" s="30"/>
    </row>
    <row r="22" spans="1:8" x14ac:dyDescent="0.25">
      <c r="A22" s="8" t="s">
        <v>1</v>
      </c>
      <c r="B22" s="106">
        <f>B18+B9+B7</f>
        <v>19647</v>
      </c>
      <c r="C22" s="106">
        <f>C18+C9+C7</f>
        <v>17927</v>
      </c>
      <c r="D22" s="107">
        <f>C22/B22*100</f>
        <v>91.245482770906492</v>
      </c>
      <c r="E22" s="108">
        <v>0.1</v>
      </c>
      <c r="F22" s="107">
        <v>90.7</v>
      </c>
      <c r="G22" s="107">
        <f>90.7-91</f>
        <v>-0.29999999999999716</v>
      </c>
      <c r="H22" s="83">
        <v>14</v>
      </c>
    </row>
    <row r="23" spans="1:8" x14ac:dyDescent="0.25">
      <c r="E23" s="109"/>
      <c r="F23" s="110"/>
      <c r="G23" s="110"/>
    </row>
    <row r="25" spans="1:8" x14ac:dyDescent="0.25">
      <c r="D25" s="74"/>
      <c r="E25" s="109"/>
      <c r="F25" s="110"/>
      <c r="G25" s="111"/>
    </row>
    <row r="26" spans="1:8" x14ac:dyDescent="0.25">
      <c r="D26" s="74"/>
      <c r="E26" s="109"/>
      <c r="F26" s="110"/>
      <c r="G26" s="111"/>
    </row>
    <row r="27" spans="1:8" x14ac:dyDescent="0.25">
      <c r="D27" s="74"/>
      <c r="E27" s="109"/>
      <c r="F27" s="110"/>
      <c r="G27" s="111"/>
    </row>
    <row r="28" spans="1:8" x14ac:dyDescent="0.25">
      <c r="D28" s="74"/>
      <c r="E28" s="109"/>
      <c r="F28" s="110"/>
      <c r="G28" s="111"/>
    </row>
    <row r="29" spans="1:8" x14ac:dyDescent="0.25">
      <c r="D29" s="74"/>
      <c r="E29" s="109"/>
      <c r="F29" s="110"/>
      <c r="G29" s="111"/>
    </row>
    <row r="30" spans="1:8" x14ac:dyDescent="0.25">
      <c r="D30" s="74"/>
      <c r="E30" s="109"/>
      <c r="F30" s="110"/>
      <c r="G30" s="111"/>
    </row>
    <row r="31" spans="1:8" x14ac:dyDescent="0.25">
      <c r="D31" s="74"/>
      <c r="E31" s="109"/>
      <c r="F31" s="110"/>
      <c r="G31" s="111"/>
    </row>
    <row r="34" spans="4:7" x14ac:dyDescent="0.25">
      <c r="D34" s="74"/>
      <c r="E34" s="109"/>
      <c r="F34" s="110"/>
      <c r="G34" s="111"/>
    </row>
    <row r="35" spans="4:7" x14ac:dyDescent="0.25">
      <c r="D35" s="74"/>
      <c r="E35" s="109"/>
      <c r="F35" s="110"/>
      <c r="G35" s="111"/>
    </row>
  </sheetData>
  <mergeCells count="9">
    <mergeCell ref="H4:H5"/>
    <mergeCell ref="B4:D4"/>
    <mergeCell ref="F4:G4"/>
    <mergeCell ref="A5:B6"/>
    <mergeCell ref="C5:C6"/>
    <mergeCell ref="D5:D6"/>
    <mergeCell ref="F5:F6"/>
    <mergeCell ref="G5:G6"/>
    <mergeCell ref="E5:E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BEB9-7B9A-460A-AE45-A3712F0FCA81}">
  <dimension ref="A1:S24"/>
  <sheetViews>
    <sheetView workbookViewId="0">
      <selection sqref="A1:XFD1048576"/>
    </sheetView>
  </sheetViews>
  <sheetFormatPr baseColWidth="10" defaultRowHeight="15" x14ac:dyDescent="0.25"/>
  <cols>
    <col min="1" max="1" width="26" style="30" customWidth="1"/>
    <col min="2" max="13" width="11.42578125" style="30"/>
    <col min="14" max="14" width="15.85546875" style="30" customWidth="1"/>
    <col min="15" max="15" width="11.42578125" style="30"/>
    <col min="16" max="17" width="4.28515625" style="30" bestFit="1" customWidth="1"/>
    <col min="18" max="16384" width="11.42578125" style="30"/>
  </cols>
  <sheetData>
    <row r="1" spans="1:19" x14ac:dyDescent="0.25">
      <c r="A1" s="35" t="s">
        <v>61</v>
      </c>
    </row>
    <row r="2" spans="1:19" x14ac:dyDescent="0.25">
      <c r="B2" s="35" t="s">
        <v>65</v>
      </c>
    </row>
    <row r="3" spans="1:19" x14ac:dyDescent="0.25">
      <c r="B3" s="35"/>
    </row>
    <row r="4" spans="1:19" x14ac:dyDescent="0.25">
      <c r="A4" s="12" t="s">
        <v>107</v>
      </c>
      <c r="B4" s="52" t="s">
        <v>92</v>
      </c>
      <c r="C4" s="112"/>
      <c r="D4" s="53" t="s">
        <v>108</v>
      </c>
      <c r="E4" s="113"/>
      <c r="F4" s="53" t="s">
        <v>109</v>
      </c>
      <c r="G4" s="113"/>
      <c r="H4" s="53" t="s">
        <v>1</v>
      </c>
      <c r="I4" s="114"/>
    </row>
    <row r="5" spans="1:19" x14ac:dyDescent="0.25">
      <c r="A5" s="16" t="s">
        <v>31</v>
      </c>
      <c r="B5" s="13" t="s">
        <v>28</v>
      </c>
      <c r="C5" s="115" t="s">
        <v>29</v>
      </c>
      <c r="D5" s="13" t="s">
        <v>28</v>
      </c>
      <c r="E5" s="115" t="s">
        <v>29</v>
      </c>
      <c r="F5" s="13" t="s">
        <v>28</v>
      </c>
      <c r="G5" s="115" t="s">
        <v>29</v>
      </c>
      <c r="H5" s="13" t="s">
        <v>28</v>
      </c>
      <c r="I5" s="115" t="s">
        <v>29</v>
      </c>
    </row>
    <row r="6" spans="1:19" ht="27" customHeight="1" x14ac:dyDescent="0.25">
      <c r="A6" s="14" t="s">
        <v>30</v>
      </c>
      <c r="B6" s="15">
        <v>2.4797843665768196</v>
      </c>
      <c r="C6" s="15">
        <v>1.9995506627724109</v>
      </c>
      <c r="D6" s="15">
        <v>0.46403712296983757</v>
      </c>
      <c r="E6" s="15">
        <v>0.11235955056179776</v>
      </c>
      <c r="F6" s="15">
        <v>0</v>
      </c>
      <c r="G6" s="15">
        <v>0</v>
      </c>
      <c r="H6" s="15">
        <v>1.6079295154185023</v>
      </c>
      <c r="I6" s="15">
        <v>1.0285972646094721</v>
      </c>
    </row>
    <row r="7" spans="1:19" x14ac:dyDescent="0.25">
      <c r="A7" s="6" t="s">
        <v>57</v>
      </c>
      <c r="B7" s="29">
        <v>16.927223719676547</v>
      </c>
      <c r="C7" s="29">
        <v>14.491125589755111</v>
      </c>
      <c r="D7" s="29">
        <v>5.1624129930394433</v>
      </c>
      <c r="E7" s="29">
        <v>2.0224719101123596</v>
      </c>
      <c r="F7" s="29">
        <v>6.3093243997766617</v>
      </c>
      <c r="G7" s="29">
        <v>7.3776758409785943</v>
      </c>
      <c r="H7" s="29">
        <v>12.599118942731277</v>
      </c>
      <c r="I7" s="29">
        <v>9.8790550469085563</v>
      </c>
    </row>
    <row r="8" spans="1:19" x14ac:dyDescent="0.25">
      <c r="A8" s="7" t="s">
        <v>58</v>
      </c>
      <c r="B8" s="15">
        <v>28.80503144654088</v>
      </c>
      <c r="C8" s="15">
        <v>24.8</v>
      </c>
      <c r="D8" s="15">
        <v>16.8</v>
      </c>
      <c r="E8" s="15">
        <v>12.1</v>
      </c>
      <c r="F8" s="15">
        <v>19</v>
      </c>
      <c r="G8" s="15">
        <v>20</v>
      </c>
      <c r="H8" s="15">
        <v>24.6</v>
      </c>
      <c r="I8" s="15">
        <v>20.8</v>
      </c>
    </row>
    <row r="9" spans="1:19" x14ac:dyDescent="0.25">
      <c r="A9" s="6" t="s">
        <v>59</v>
      </c>
      <c r="B9" s="29">
        <v>30.637915543575922</v>
      </c>
      <c r="C9" s="29">
        <v>30.083127387104021</v>
      </c>
      <c r="D9" s="29">
        <v>31.38051044083527</v>
      </c>
      <c r="E9" s="29">
        <v>31.179775280898873</v>
      </c>
      <c r="F9" s="29">
        <v>36.795086543830266</v>
      </c>
      <c r="G9" s="29">
        <v>32.759938837920487</v>
      </c>
      <c r="H9" s="29">
        <v>31.993392070484582</v>
      </c>
      <c r="I9" s="29">
        <v>31.095286537809425</v>
      </c>
    </row>
    <row r="10" spans="1:19" x14ac:dyDescent="0.25">
      <c r="A10" s="116" t="s">
        <v>32</v>
      </c>
      <c r="B10" s="31">
        <v>78.849955076370179</v>
      </c>
      <c r="C10" s="31">
        <v>71.400000000000006</v>
      </c>
      <c r="D10" s="31">
        <v>53.8</v>
      </c>
      <c r="E10" s="31">
        <v>45.4</v>
      </c>
      <c r="F10" s="31">
        <v>62.1</v>
      </c>
      <c r="G10" s="31">
        <v>60.1</v>
      </c>
      <c r="H10" s="31">
        <v>70.8</v>
      </c>
      <c r="I10" s="31">
        <v>62.8</v>
      </c>
    </row>
    <row r="12" spans="1:19" ht="15" customHeight="1" x14ac:dyDescent="0.25">
      <c r="A12" s="51" t="s">
        <v>110</v>
      </c>
      <c r="B12" s="51"/>
      <c r="C12" s="51"/>
      <c r="D12" s="51"/>
      <c r="E12" s="51"/>
      <c r="F12" s="51"/>
      <c r="G12" s="51"/>
      <c r="H12" s="51"/>
      <c r="I12" s="117"/>
    </row>
    <row r="13" spans="1:19" x14ac:dyDescent="0.25">
      <c r="A13" s="16" t="s">
        <v>56</v>
      </c>
      <c r="M13" s="118"/>
      <c r="P13" s="118"/>
      <c r="S13" s="118"/>
    </row>
    <row r="14" spans="1:19" ht="18.75" customHeight="1" x14ac:dyDescent="0.25">
      <c r="A14" s="14" t="s">
        <v>30</v>
      </c>
      <c r="B14" s="15">
        <v>2.1329903141888975</v>
      </c>
      <c r="C14" s="15">
        <v>1.6741699493528419</v>
      </c>
      <c r="D14" s="15">
        <v>0.17915883458646614</v>
      </c>
      <c r="E14" s="15">
        <v>0.10187170247380985</v>
      </c>
      <c r="F14" s="15">
        <v>0</v>
      </c>
      <c r="G14" s="15">
        <v>0</v>
      </c>
      <c r="H14" s="15">
        <v>1.3164002248778308</v>
      </c>
      <c r="I14" s="15">
        <v>0.85465396268051674</v>
      </c>
      <c r="M14" s="118"/>
      <c r="P14" s="118"/>
      <c r="S14" s="118"/>
    </row>
    <row r="15" spans="1:19" x14ac:dyDescent="0.25">
      <c r="A15" s="6" t="s">
        <v>57</v>
      </c>
      <c r="B15" s="15">
        <v>13.775642440939592</v>
      </c>
      <c r="C15" s="15">
        <v>11.476964106579238</v>
      </c>
      <c r="D15" s="15">
        <v>2.8107377819548871</v>
      </c>
      <c r="E15" s="15">
        <v>1.8564977420973405</v>
      </c>
      <c r="F15" s="15">
        <v>5.3825287943987616</v>
      </c>
      <c r="G15" s="15">
        <v>5.2826485080894034</v>
      </c>
      <c r="H15" s="15">
        <v>9.9191304723875966</v>
      </c>
      <c r="I15" s="15">
        <v>7.6824369220265423</v>
      </c>
      <c r="M15" s="118"/>
      <c r="P15" s="118"/>
      <c r="S15" s="118"/>
    </row>
    <row r="16" spans="1:19" x14ac:dyDescent="0.25">
      <c r="A16" s="7" t="s">
        <v>58</v>
      </c>
      <c r="B16" s="15">
        <v>26.01009858600597</v>
      </c>
      <c r="C16" s="15">
        <v>22.399745540848034</v>
      </c>
      <c r="D16" s="15">
        <v>13.297403665413535</v>
      </c>
      <c r="E16" s="15">
        <v>11.1465888184403</v>
      </c>
      <c r="F16" s="15">
        <v>19.8642296166901</v>
      </c>
      <c r="G16" s="15">
        <v>18.129572106482652</v>
      </c>
      <c r="H16" s="15">
        <v>22.266653212437472</v>
      </c>
      <c r="I16" s="15">
        <v>18.857555640899033</v>
      </c>
      <c r="M16" s="118"/>
      <c r="P16" s="118"/>
      <c r="S16" s="118"/>
    </row>
    <row r="17" spans="1:19" x14ac:dyDescent="0.25">
      <c r="A17" s="6" t="s">
        <v>59</v>
      </c>
      <c r="B17" s="15">
        <v>31.239380645656745</v>
      </c>
      <c r="C17" s="15">
        <v>30.796285875070346</v>
      </c>
      <c r="D17" s="15">
        <v>32.304393796992478</v>
      </c>
      <c r="E17" s="15">
        <v>30.117532576137695</v>
      </c>
      <c r="F17" s="15">
        <v>35.618422734438241</v>
      </c>
      <c r="G17" s="15">
        <v>34.863861260914874</v>
      </c>
      <c r="H17" s="15">
        <v>32.33743206815528</v>
      </c>
      <c r="I17" s="15">
        <v>31.885542205397364</v>
      </c>
      <c r="M17" s="118"/>
      <c r="P17" s="118"/>
      <c r="S17" s="118"/>
    </row>
    <row r="18" spans="1:19" x14ac:dyDescent="0.25">
      <c r="A18" s="6" t="s">
        <v>32</v>
      </c>
      <c r="B18" s="15">
        <v>73.158111986791198</v>
      </c>
      <c r="C18" s="15">
        <v>66.34716547185046</v>
      </c>
      <c r="D18" s="15">
        <v>48.59169407894737</v>
      </c>
      <c r="E18" s="15">
        <v>43.222490839149145</v>
      </c>
      <c r="F18" s="15">
        <v>60.865181145527103</v>
      </c>
      <c r="G18" s="15">
        <v>58.276081875486931</v>
      </c>
      <c r="H18" s="15">
        <v>65.839615977858188</v>
      </c>
      <c r="I18" s="15">
        <v>59.280188731003456</v>
      </c>
      <c r="M18" s="118"/>
      <c r="P18" s="118"/>
      <c r="S18" s="118"/>
    </row>
    <row r="19" spans="1:19" x14ac:dyDescent="0.25">
      <c r="A19" s="6"/>
      <c r="B19" s="31"/>
      <c r="C19" s="31"/>
      <c r="D19" s="31"/>
      <c r="E19" s="31"/>
      <c r="F19" s="31"/>
      <c r="G19" s="31"/>
      <c r="H19" s="31"/>
      <c r="I19" s="31"/>
      <c r="M19" s="74"/>
      <c r="N19" s="74"/>
    </row>
    <row r="21" spans="1:19" x14ac:dyDescent="0.25">
      <c r="A21" s="30" t="s">
        <v>111</v>
      </c>
    </row>
    <row r="22" spans="1:19" x14ac:dyDescent="0.25">
      <c r="A22" s="30" t="s">
        <v>84</v>
      </c>
    </row>
    <row r="24" spans="1:19" x14ac:dyDescent="0.25">
      <c r="A24" s="35"/>
    </row>
  </sheetData>
  <mergeCells count="5">
    <mergeCell ref="A12:H12"/>
    <mergeCell ref="B4:C4"/>
    <mergeCell ref="D4:E4"/>
    <mergeCell ref="F4:G4"/>
    <mergeCell ref="H4: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41CD-AE3E-4BA8-A76C-9E246EBF694F}">
  <dimension ref="A1:O21"/>
  <sheetViews>
    <sheetView workbookViewId="0">
      <selection activeCell="J12" sqref="J12"/>
    </sheetView>
  </sheetViews>
  <sheetFormatPr baseColWidth="10" defaultRowHeight="15" x14ac:dyDescent="0.25"/>
  <cols>
    <col min="1" max="1" width="18.85546875" style="30" customWidth="1"/>
    <col min="2" max="17" width="11.42578125" style="30"/>
    <col min="18" max="18" width="17.42578125" style="30" bestFit="1" customWidth="1"/>
    <col min="19" max="19" width="18" style="30" bestFit="1" customWidth="1"/>
    <col min="20" max="16384" width="11.42578125" style="30"/>
  </cols>
  <sheetData>
    <row r="1" spans="1:15" x14ac:dyDescent="0.25">
      <c r="A1" s="35" t="s">
        <v>11</v>
      </c>
    </row>
    <row r="2" spans="1:15" x14ac:dyDescent="0.25">
      <c r="A2" s="35" t="s">
        <v>62</v>
      </c>
    </row>
    <row r="4" spans="1:15" ht="38.25" x14ac:dyDescent="0.25">
      <c r="A4" s="54" t="s">
        <v>96</v>
      </c>
      <c r="B4" s="55"/>
      <c r="C4" s="9" t="s">
        <v>112</v>
      </c>
      <c r="D4" s="38" t="s">
        <v>113</v>
      </c>
      <c r="E4" s="10" t="s">
        <v>114</v>
      </c>
    </row>
    <row r="5" spans="1:15" x14ac:dyDescent="0.25">
      <c r="A5" s="12" t="s">
        <v>0</v>
      </c>
      <c r="B5" s="101">
        <v>10432</v>
      </c>
      <c r="C5" s="119">
        <f>5756/10432*100</f>
        <v>55.176380368098151</v>
      </c>
      <c r="D5" s="119">
        <f>5565/5756*100</f>
        <v>96.681723419040992</v>
      </c>
      <c r="E5" s="119">
        <f>4451/4676*100</f>
        <v>95.188195038494442</v>
      </c>
      <c r="G5" s="60"/>
      <c r="K5" s="74"/>
      <c r="L5" s="74"/>
      <c r="M5" s="109"/>
      <c r="N5" s="109"/>
      <c r="O5" s="120"/>
    </row>
    <row r="6" spans="1:15" x14ac:dyDescent="0.25">
      <c r="B6" s="84"/>
      <c r="C6" s="121"/>
      <c r="D6" s="121"/>
      <c r="E6" s="121"/>
      <c r="G6" s="60"/>
      <c r="K6" s="74"/>
      <c r="L6" s="74"/>
      <c r="M6" s="109"/>
      <c r="N6" s="109"/>
      <c r="O6" s="120"/>
    </row>
    <row r="7" spans="1:15" x14ac:dyDescent="0.25">
      <c r="A7" s="12" t="s">
        <v>98</v>
      </c>
      <c r="B7" s="101">
        <v>3894</v>
      </c>
      <c r="C7" s="119">
        <f>1897/3894*100</f>
        <v>48.715973292244477</v>
      </c>
      <c r="D7" s="119">
        <f>1724/1897*100</f>
        <v>90.880337374802323</v>
      </c>
      <c r="E7" s="119">
        <f>1780/1997*100</f>
        <v>89.133700550826248</v>
      </c>
      <c r="G7" s="60"/>
      <c r="K7" s="74"/>
      <c r="L7" s="74"/>
      <c r="M7" s="109"/>
      <c r="N7" s="109"/>
      <c r="O7" s="120"/>
    </row>
    <row r="8" spans="1:15" x14ac:dyDescent="0.25">
      <c r="A8" s="6" t="s">
        <v>99</v>
      </c>
      <c r="B8" s="86">
        <v>1803</v>
      </c>
      <c r="C8" s="122">
        <f>992/1803*100</f>
        <v>55.019412090959506</v>
      </c>
      <c r="D8" s="122">
        <f>889/992*100</f>
        <v>89.616935483870961</v>
      </c>
      <c r="E8" s="123">
        <f>694/811*100</f>
        <v>85.573366214549935</v>
      </c>
      <c r="G8" s="60"/>
      <c r="K8" s="74"/>
      <c r="L8" s="74"/>
      <c r="M8" s="109"/>
      <c r="N8" s="109"/>
      <c r="O8" s="120"/>
    </row>
    <row r="9" spans="1:15" x14ac:dyDescent="0.25">
      <c r="A9" s="7" t="s">
        <v>100</v>
      </c>
      <c r="B9" s="90">
        <v>113</v>
      </c>
      <c r="C9" s="124">
        <f>51/113*100</f>
        <v>45.132743362831853</v>
      </c>
      <c r="D9" s="124">
        <f>50/51*100</f>
        <v>98.039215686274503</v>
      </c>
      <c r="E9" s="124">
        <f>60/62*100</f>
        <v>96.774193548387103</v>
      </c>
      <c r="G9" s="60"/>
      <c r="K9" s="74"/>
      <c r="L9" s="74"/>
      <c r="M9" s="109"/>
      <c r="N9" s="109"/>
      <c r="O9" s="120"/>
    </row>
    <row r="10" spans="1:15" x14ac:dyDescent="0.25">
      <c r="A10" s="6" t="s">
        <v>101</v>
      </c>
      <c r="B10" s="95">
        <v>559</v>
      </c>
      <c r="C10" s="122">
        <f>472/559*100</f>
        <v>84.436493738819323</v>
      </c>
      <c r="D10" s="122">
        <f>430/472*100</f>
        <v>91.101694915254242</v>
      </c>
      <c r="E10" s="123">
        <f>80/87*100</f>
        <v>91.954022988505741</v>
      </c>
      <c r="G10" s="60"/>
      <c r="M10" s="125"/>
    </row>
    <row r="11" spans="1:15" x14ac:dyDescent="0.25">
      <c r="A11" s="7" t="s">
        <v>102</v>
      </c>
      <c r="B11" s="90">
        <v>290</v>
      </c>
      <c r="C11" s="124">
        <f>163/290*100</f>
        <v>56.206896551724142</v>
      </c>
      <c r="D11" s="124">
        <f>142/163*100</f>
        <v>87.116564417177912</v>
      </c>
      <c r="E11" s="124">
        <f>103/127*100</f>
        <v>81.102362204724415</v>
      </c>
      <c r="G11" s="60"/>
    </row>
    <row r="12" spans="1:15" x14ac:dyDescent="0.25">
      <c r="A12" s="6" t="s">
        <v>103</v>
      </c>
      <c r="B12" s="95">
        <v>905</v>
      </c>
      <c r="C12" s="122">
        <f>70/907*100</f>
        <v>7.7177508269018746</v>
      </c>
      <c r="D12" s="122">
        <f>66/70*100</f>
        <v>94.285714285714278</v>
      </c>
      <c r="E12" s="123">
        <f>771/835*100</f>
        <v>92.335329341317362</v>
      </c>
      <c r="G12" s="60"/>
    </row>
    <row r="13" spans="1:15" x14ac:dyDescent="0.25">
      <c r="A13" s="7" t="s">
        <v>104</v>
      </c>
      <c r="B13" s="90">
        <v>97</v>
      </c>
      <c r="C13" s="124">
        <f>80/97*100</f>
        <v>82.474226804123703</v>
      </c>
      <c r="D13" s="124">
        <f>80/80*100</f>
        <v>100</v>
      </c>
      <c r="E13" s="124">
        <f>17/17*100</f>
        <v>100</v>
      </c>
      <c r="G13" s="60"/>
    </row>
    <row r="14" spans="1:15" x14ac:dyDescent="0.25">
      <c r="A14" s="6" t="s">
        <v>105</v>
      </c>
      <c r="B14" s="97">
        <v>127</v>
      </c>
      <c r="C14" s="122">
        <f>69/127*100</f>
        <v>54.330708661417326</v>
      </c>
      <c r="D14" s="122">
        <f>67/69*100</f>
        <v>97.101449275362313</v>
      </c>
      <c r="E14" s="123">
        <f>55/58*100</f>
        <v>94.827586206896555</v>
      </c>
      <c r="G14" s="60"/>
    </row>
    <row r="15" spans="1:15" x14ac:dyDescent="0.25">
      <c r="B15" s="84"/>
      <c r="C15" s="121"/>
      <c r="D15" s="121"/>
      <c r="E15" s="121"/>
      <c r="G15" s="60"/>
    </row>
    <row r="16" spans="1:15" x14ac:dyDescent="0.25">
      <c r="A16" s="12" t="s">
        <v>106</v>
      </c>
      <c r="B16" s="101">
        <v>5321</v>
      </c>
      <c r="C16" s="119">
        <v>39.9</v>
      </c>
      <c r="D16" s="119">
        <v>84.3</v>
      </c>
      <c r="E16" s="119">
        <f>2616/3196*100</f>
        <v>81.852315394242808</v>
      </c>
      <c r="G16" s="60"/>
    </row>
    <row r="17" spans="1:7" x14ac:dyDescent="0.25">
      <c r="A17" s="6" t="s">
        <v>2</v>
      </c>
      <c r="B17" s="86">
        <v>2515</v>
      </c>
      <c r="C17" s="122">
        <f>292/2515*100</f>
        <v>11.610337972166999</v>
      </c>
      <c r="D17" s="122">
        <f>242/292*100</f>
        <v>82.876712328767127</v>
      </c>
      <c r="E17" s="123">
        <f>1841/2223*100</f>
        <v>82.816014394961769</v>
      </c>
      <c r="G17" s="60"/>
    </row>
    <row r="18" spans="1:7" x14ac:dyDescent="0.25">
      <c r="A18" s="7" t="s">
        <v>3</v>
      </c>
      <c r="B18" s="104">
        <v>2806</v>
      </c>
      <c r="C18" s="124">
        <f>1833/2806*100</f>
        <v>65.324305060584464</v>
      </c>
      <c r="D18" s="124">
        <f>1549/1833*100</f>
        <v>84.506273867976006</v>
      </c>
      <c r="E18" s="124">
        <f>775/973*100</f>
        <v>79.650565262076057</v>
      </c>
      <c r="G18" s="60"/>
    </row>
    <row r="19" spans="1:7" x14ac:dyDescent="0.25">
      <c r="B19" s="84"/>
      <c r="C19" s="121"/>
      <c r="D19" s="121"/>
      <c r="E19" s="121"/>
      <c r="G19" s="60"/>
    </row>
    <row r="20" spans="1:7" x14ac:dyDescent="0.25">
      <c r="A20" s="11" t="s">
        <v>115</v>
      </c>
      <c r="B20" s="106">
        <f>B16+B7+B5</f>
        <v>19647</v>
      </c>
      <c r="C20" s="126">
        <f>9778/19647*100</f>
        <v>49.768412480276886</v>
      </c>
      <c r="D20" s="126">
        <f>9080/9778*100</f>
        <v>92.861525874411939</v>
      </c>
      <c r="E20" s="126">
        <f>8847/9869*100</f>
        <v>89.644340865335906</v>
      </c>
      <c r="G20" s="60"/>
    </row>
    <row r="21" spans="1:7" x14ac:dyDescent="0.25">
      <c r="A21" s="127" t="s">
        <v>55</v>
      </c>
      <c r="B21" s="128">
        <v>743874</v>
      </c>
      <c r="C21" s="129">
        <v>50.4</v>
      </c>
      <c r="D21" s="129">
        <v>92.6</v>
      </c>
      <c r="E21" s="129">
        <v>88.8</v>
      </c>
      <c r="G21" s="60"/>
    </row>
  </sheetData>
  <mergeCells count="1">
    <mergeCell ref="A4:B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1185-0B09-4602-ADB7-4745BDABA1B1}">
  <dimension ref="A1:R34"/>
  <sheetViews>
    <sheetView workbookViewId="0">
      <selection activeCell="J8" sqref="J8"/>
    </sheetView>
  </sheetViews>
  <sheetFormatPr baseColWidth="10" defaultColWidth="11.42578125" defaultRowHeight="12.75" x14ac:dyDescent="0.2"/>
  <cols>
    <col min="1" max="1" width="13.85546875" style="131" bestFit="1" customWidth="1"/>
    <col min="2" max="9" width="9.140625" style="131" customWidth="1"/>
    <col min="10" max="10" width="13.85546875" style="131" bestFit="1" customWidth="1"/>
    <col min="11" max="18" width="9" style="131" customWidth="1"/>
    <col min="19" max="16384" width="11.42578125" style="131"/>
  </cols>
  <sheetData>
    <row r="1" spans="1:18" x14ac:dyDescent="0.2">
      <c r="A1" s="130" t="s">
        <v>33</v>
      </c>
    </row>
    <row r="2" spans="1:18" x14ac:dyDescent="0.2">
      <c r="A2" s="132" t="s">
        <v>7</v>
      </c>
    </row>
    <row r="4" spans="1:18" x14ac:dyDescent="0.2">
      <c r="K4" s="133" t="s">
        <v>0</v>
      </c>
      <c r="L4" s="133"/>
      <c r="M4" s="133" t="s">
        <v>34</v>
      </c>
      <c r="N4" s="133"/>
      <c r="O4" s="133" t="s">
        <v>35</v>
      </c>
      <c r="P4" s="133"/>
      <c r="Q4" s="133" t="s">
        <v>1</v>
      </c>
      <c r="R4" s="133"/>
    </row>
    <row r="5" spans="1:18" x14ac:dyDescent="0.2">
      <c r="K5" s="131" t="s">
        <v>4</v>
      </c>
      <c r="L5" s="131" t="s">
        <v>5</v>
      </c>
      <c r="M5" s="131" t="s">
        <v>4</v>
      </c>
      <c r="N5" s="131" t="s">
        <v>5</v>
      </c>
      <c r="O5" s="131" t="s">
        <v>4</v>
      </c>
      <c r="P5" s="131" t="s">
        <v>5</v>
      </c>
      <c r="Q5" s="131" t="s">
        <v>4</v>
      </c>
      <c r="R5" s="131" t="s">
        <v>5</v>
      </c>
    </row>
    <row r="6" spans="1:18" x14ac:dyDescent="0.2">
      <c r="J6" s="131" t="s">
        <v>122</v>
      </c>
      <c r="K6" s="36">
        <v>35.200000000000003</v>
      </c>
      <c r="L6" s="36">
        <v>37.1</v>
      </c>
      <c r="M6" s="36">
        <v>16.5</v>
      </c>
      <c r="N6" s="36">
        <v>17.3</v>
      </c>
      <c r="O6" s="36">
        <v>6.4</v>
      </c>
      <c r="P6" s="36">
        <v>7.8</v>
      </c>
      <c r="Q6" s="36">
        <v>23.7</v>
      </c>
      <c r="R6" s="36">
        <v>25.1</v>
      </c>
    </row>
    <row r="7" spans="1:18" x14ac:dyDescent="0.2">
      <c r="J7" s="131" t="s">
        <v>36</v>
      </c>
      <c r="K7" s="36">
        <v>17.100000000000001</v>
      </c>
      <c r="L7" s="36">
        <v>14.9</v>
      </c>
      <c r="M7" s="36">
        <v>15.5</v>
      </c>
      <c r="N7" s="36">
        <v>14.4</v>
      </c>
      <c r="O7" s="36">
        <v>11.2</v>
      </c>
      <c r="P7" s="36">
        <v>10.199999999999999</v>
      </c>
      <c r="Q7" s="36">
        <v>15.2</v>
      </c>
      <c r="R7" s="36">
        <v>13.5</v>
      </c>
    </row>
    <row r="8" spans="1:18" x14ac:dyDescent="0.2">
      <c r="J8" s="131" t="s">
        <v>37</v>
      </c>
      <c r="K8" s="36">
        <v>24.2</v>
      </c>
      <c r="L8" s="36">
        <v>27</v>
      </c>
      <c r="M8" s="36">
        <v>28.5</v>
      </c>
      <c r="N8" s="36">
        <v>31.6</v>
      </c>
      <c r="O8" s="36">
        <v>27</v>
      </c>
      <c r="P8" s="36">
        <v>26.8</v>
      </c>
      <c r="Q8" s="36">
        <v>25.787917666090255</v>
      </c>
      <c r="R8" s="36">
        <v>27.8</v>
      </c>
    </row>
    <row r="9" spans="1:18" x14ac:dyDescent="0.2">
      <c r="J9" s="131" t="s">
        <v>6</v>
      </c>
      <c r="K9" s="36">
        <v>21.7</v>
      </c>
      <c r="L9" s="36">
        <v>17.600000000000001</v>
      </c>
      <c r="M9" s="36">
        <v>34.5</v>
      </c>
      <c r="N9" s="36">
        <v>28.3</v>
      </c>
      <c r="O9" s="36">
        <v>41.5</v>
      </c>
      <c r="P9" s="36">
        <v>32.700000000000003</v>
      </c>
      <c r="Q9" s="36">
        <v>29.6</v>
      </c>
      <c r="R9" s="36">
        <v>23.9</v>
      </c>
    </row>
    <row r="10" spans="1:18" x14ac:dyDescent="0.2">
      <c r="J10" s="131" t="s">
        <v>38</v>
      </c>
      <c r="K10" s="36">
        <v>1.8</v>
      </c>
      <c r="L10" s="36">
        <v>3.4</v>
      </c>
      <c r="M10" s="36">
        <v>5</v>
      </c>
      <c r="N10" s="36">
        <v>8.4</v>
      </c>
      <c r="O10" s="36">
        <v>13.9</v>
      </c>
      <c r="P10" s="36">
        <v>22.5</v>
      </c>
      <c r="Q10" s="36">
        <v>5.7</v>
      </c>
      <c r="R10" s="36">
        <v>9.6999999999999993</v>
      </c>
    </row>
    <row r="11" spans="1:18" x14ac:dyDescent="0.2">
      <c r="K11" s="36">
        <f t="shared" ref="K11:R11" si="0">SUM(K6:K10)</f>
        <v>100</v>
      </c>
      <c r="L11" s="36">
        <f t="shared" si="0"/>
        <v>100</v>
      </c>
      <c r="M11" s="36">
        <f t="shared" si="0"/>
        <v>100</v>
      </c>
      <c r="N11" s="36">
        <f t="shared" si="0"/>
        <v>100.00000000000001</v>
      </c>
      <c r="O11" s="36">
        <f t="shared" si="0"/>
        <v>100</v>
      </c>
      <c r="P11" s="36">
        <f t="shared" si="0"/>
        <v>100</v>
      </c>
      <c r="Q11" s="36">
        <f t="shared" si="0"/>
        <v>99.987917666090269</v>
      </c>
      <c r="R11" s="36">
        <f t="shared" si="0"/>
        <v>100.00000000000001</v>
      </c>
    </row>
    <row r="32" spans="10:12" x14ac:dyDescent="0.2">
      <c r="J32" s="36"/>
      <c r="K32" s="36"/>
      <c r="L32" s="36"/>
    </row>
    <row r="34" spans="14:18" x14ac:dyDescent="0.2">
      <c r="N34" s="36"/>
      <c r="O34" s="36"/>
      <c r="P34" s="36"/>
      <c r="Q34" s="36"/>
      <c r="R34" s="36"/>
    </row>
  </sheetData>
  <mergeCells count="4">
    <mergeCell ref="K4:L4"/>
    <mergeCell ref="M4:N4"/>
    <mergeCell ref="O4:P4"/>
    <mergeCell ref="Q4:R4"/>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AC8A-DEC0-4FB9-B9A4-35404C665BA5}">
  <dimension ref="A1:Q26"/>
  <sheetViews>
    <sheetView zoomScale="145" zoomScaleNormal="145" workbookViewId="0">
      <selection activeCell="K19" sqref="K19"/>
    </sheetView>
  </sheetViews>
  <sheetFormatPr baseColWidth="10" defaultColWidth="11.42578125" defaultRowHeight="12.75" x14ac:dyDescent="0.2"/>
  <cols>
    <col min="1" max="1" width="13.85546875" style="131" bestFit="1" customWidth="1"/>
    <col min="2" max="8" width="9.5703125" style="131" customWidth="1"/>
    <col min="9" max="9" width="13.85546875" style="131" bestFit="1" customWidth="1"/>
    <col min="10" max="12" width="9.42578125" style="131" customWidth="1"/>
    <col min="13" max="13" width="18.7109375" style="131" bestFit="1" customWidth="1"/>
    <col min="14" max="15" width="9.42578125" style="131" customWidth="1"/>
    <col min="16" max="16384" width="11.42578125" style="131"/>
  </cols>
  <sheetData>
    <row r="1" spans="1:17" x14ac:dyDescent="0.2">
      <c r="A1" s="130" t="s">
        <v>39</v>
      </c>
    </row>
    <row r="2" spans="1:17" x14ac:dyDescent="0.2">
      <c r="A2" s="132" t="s">
        <v>66</v>
      </c>
    </row>
    <row r="3" spans="1:17" x14ac:dyDescent="0.2">
      <c r="J3" s="133"/>
      <c r="K3" s="133"/>
    </row>
    <row r="4" spans="1:17" x14ac:dyDescent="0.2">
      <c r="J4" s="133" t="s">
        <v>0</v>
      </c>
      <c r="K4" s="133"/>
      <c r="L4" s="133" t="s">
        <v>34</v>
      </c>
      <c r="M4" s="133"/>
      <c r="N4" s="133" t="s">
        <v>35</v>
      </c>
      <c r="O4" s="133"/>
      <c r="P4" s="133"/>
      <c r="Q4" s="133"/>
    </row>
    <row r="5" spans="1:17" x14ac:dyDescent="0.2">
      <c r="J5" s="131" t="s">
        <v>4</v>
      </c>
      <c r="K5" s="131" t="s">
        <v>5</v>
      </c>
      <c r="L5" s="131" t="s">
        <v>4</v>
      </c>
      <c r="M5" s="131" t="s">
        <v>5</v>
      </c>
      <c r="N5" s="131" t="s">
        <v>4</v>
      </c>
      <c r="O5" s="131" t="s">
        <v>5</v>
      </c>
    </row>
    <row r="6" spans="1:17" ht="15" x14ac:dyDescent="0.25">
      <c r="I6" s="131" t="s">
        <v>6</v>
      </c>
      <c r="J6" s="36">
        <v>92.2</v>
      </c>
      <c r="K6" s="60">
        <v>91</v>
      </c>
      <c r="L6" s="36">
        <v>85.9</v>
      </c>
      <c r="M6" s="60">
        <v>85.2</v>
      </c>
      <c r="N6" s="36">
        <v>78.8</v>
      </c>
      <c r="O6" s="60">
        <v>77.900000000000006</v>
      </c>
    </row>
    <row r="7" spans="1:17" ht="15" x14ac:dyDescent="0.25">
      <c r="I7" s="131" t="s">
        <v>37</v>
      </c>
      <c r="J7" s="36">
        <v>95.4</v>
      </c>
      <c r="K7" s="60">
        <v>95.2</v>
      </c>
      <c r="L7" s="36">
        <v>90.4</v>
      </c>
      <c r="M7" s="60">
        <v>90</v>
      </c>
      <c r="N7" s="36">
        <v>84.3</v>
      </c>
      <c r="O7" s="60">
        <v>84.4</v>
      </c>
    </row>
    <row r="8" spans="1:17" ht="15" x14ac:dyDescent="0.25">
      <c r="I8" s="131" t="s">
        <v>36</v>
      </c>
      <c r="J8" s="36">
        <v>97.6</v>
      </c>
      <c r="K8" s="60">
        <v>96.6</v>
      </c>
      <c r="L8" s="36">
        <v>93.4</v>
      </c>
      <c r="M8" s="60">
        <v>92.1</v>
      </c>
      <c r="N8" s="36">
        <v>86.7</v>
      </c>
      <c r="O8" s="60">
        <v>86.4</v>
      </c>
    </row>
    <row r="9" spans="1:17" ht="15" x14ac:dyDescent="0.25">
      <c r="I9" s="131" t="s">
        <v>121</v>
      </c>
      <c r="J9" s="36">
        <v>98.5</v>
      </c>
      <c r="K9" s="60">
        <v>98</v>
      </c>
      <c r="L9" s="36">
        <v>95.5</v>
      </c>
      <c r="M9" s="60">
        <v>93.9</v>
      </c>
      <c r="N9" s="36">
        <v>89.2</v>
      </c>
      <c r="O9" s="60">
        <v>89.8</v>
      </c>
    </row>
    <row r="10" spans="1:17" ht="15" x14ac:dyDescent="0.25">
      <c r="I10" s="131" t="s">
        <v>38</v>
      </c>
      <c r="J10" s="36">
        <v>85.6</v>
      </c>
      <c r="K10" s="60">
        <v>88.7</v>
      </c>
      <c r="L10" s="36">
        <v>87.6</v>
      </c>
      <c r="M10" s="60">
        <v>88.6</v>
      </c>
      <c r="N10" s="36">
        <v>85.8</v>
      </c>
      <c r="O10" s="60">
        <v>83.3</v>
      </c>
    </row>
    <row r="13" spans="1:17" x14ac:dyDescent="0.2">
      <c r="J13" s="36"/>
      <c r="K13" s="36"/>
      <c r="L13" s="36"/>
      <c r="M13" s="36"/>
      <c r="N13" s="36"/>
    </row>
    <row r="14" spans="1:17" ht="15" x14ac:dyDescent="0.25">
      <c r="J14" s="36"/>
      <c r="K14" s="30"/>
      <c r="L14" s="30"/>
      <c r="M14" s="30"/>
      <c r="N14" s="30"/>
    </row>
    <row r="15" spans="1:17" ht="15" x14ac:dyDescent="0.25">
      <c r="J15" s="36"/>
      <c r="K15" s="30"/>
      <c r="L15" s="30"/>
      <c r="M15" s="30"/>
      <c r="N15" s="30"/>
    </row>
    <row r="16" spans="1:17" ht="15" x14ac:dyDescent="0.25">
      <c r="J16" s="36"/>
      <c r="K16" s="134"/>
      <c r="L16" s="135"/>
      <c r="M16" s="135"/>
      <c r="N16" s="60"/>
    </row>
    <row r="17" spans="1:16" ht="15" x14ac:dyDescent="0.25">
      <c r="J17" s="36"/>
      <c r="K17" s="134"/>
      <c r="L17" s="135"/>
      <c r="M17" s="135"/>
      <c r="N17" s="60"/>
    </row>
    <row r="18" spans="1:16" ht="15" x14ac:dyDescent="0.25">
      <c r="J18" s="36"/>
      <c r="K18" s="134"/>
      <c r="L18" s="135"/>
      <c r="M18" s="135"/>
      <c r="N18" s="60"/>
      <c r="O18" s="30"/>
      <c r="P18" s="30"/>
    </row>
    <row r="19" spans="1:16" ht="15" x14ac:dyDescent="0.25">
      <c r="K19" s="134"/>
      <c r="L19" s="135"/>
      <c r="M19" s="135"/>
      <c r="N19" s="60"/>
      <c r="O19" s="135"/>
    </row>
    <row r="20" spans="1:16" ht="15" x14ac:dyDescent="0.25">
      <c r="K20" s="134"/>
      <c r="L20" s="30"/>
      <c r="M20" s="30"/>
      <c r="N20" s="30"/>
      <c r="O20" s="30"/>
    </row>
    <row r="21" spans="1:16" ht="15" x14ac:dyDescent="0.25">
      <c r="K21" s="134"/>
      <c r="L21" s="134"/>
      <c r="M21" s="135"/>
      <c r="N21" s="135"/>
      <c r="O21" s="60"/>
    </row>
    <row r="22" spans="1:16" ht="15" x14ac:dyDescent="0.25">
      <c r="L22" s="134"/>
      <c r="M22" s="135"/>
      <c r="N22" s="135"/>
      <c r="O22" s="60"/>
    </row>
    <row r="23" spans="1:16" ht="15" x14ac:dyDescent="0.25">
      <c r="L23" s="134"/>
      <c r="M23" s="135"/>
      <c r="N23" s="135"/>
      <c r="O23" s="60"/>
    </row>
    <row r="24" spans="1:16" ht="15" x14ac:dyDescent="0.25">
      <c r="A24" s="131" t="s">
        <v>63</v>
      </c>
      <c r="L24" s="134"/>
      <c r="M24" s="135"/>
      <c r="N24" s="135"/>
      <c r="O24" s="60"/>
      <c r="P24" s="60"/>
    </row>
    <row r="25" spans="1:16" ht="15" x14ac:dyDescent="0.25">
      <c r="A25" s="131" t="s">
        <v>116</v>
      </c>
      <c r="L25" s="134"/>
      <c r="M25" s="135"/>
      <c r="N25" s="135"/>
      <c r="O25" s="60"/>
    </row>
    <row r="26" spans="1:16" ht="15" x14ac:dyDescent="0.25">
      <c r="A26" s="131" t="s">
        <v>117</v>
      </c>
      <c r="L26" s="134"/>
      <c r="M26" s="135"/>
      <c r="N26" s="135"/>
      <c r="O26" s="60"/>
    </row>
  </sheetData>
  <mergeCells count="5">
    <mergeCell ref="J3:K3"/>
    <mergeCell ref="J4:K4"/>
    <mergeCell ref="L4:M4"/>
    <mergeCell ref="N4:O4"/>
    <mergeCell ref="P4:Q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A989-78A5-4F39-BDCB-C9064480137A}">
  <dimension ref="A1:G32"/>
  <sheetViews>
    <sheetView workbookViewId="0">
      <selection sqref="A1:XFD1048576"/>
    </sheetView>
  </sheetViews>
  <sheetFormatPr baseColWidth="10" defaultColWidth="11.42578125" defaultRowHeight="12.75" x14ac:dyDescent="0.2"/>
  <cols>
    <col min="1" max="1" width="14.28515625" style="131" customWidth="1"/>
    <col min="2" max="2" width="12" style="131" customWidth="1"/>
    <col min="3" max="3" width="12.42578125" style="131" customWidth="1"/>
    <col min="4" max="5" width="11.42578125" style="131"/>
    <col min="6" max="6" width="12" style="131" customWidth="1"/>
    <col min="7" max="16384" width="11.42578125" style="131"/>
  </cols>
  <sheetData>
    <row r="1" spans="1:6" x14ac:dyDescent="0.2">
      <c r="A1" s="130" t="s">
        <v>40</v>
      </c>
    </row>
    <row r="2" spans="1:6" x14ac:dyDescent="0.2">
      <c r="A2" s="132" t="s">
        <v>12</v>
      </c>
    </row>
    <row r="3" spans="1:6" ht="36" x14ac:dyDescent="0.2">
      <c r="A3" s="19" t="s">
        <v>90</v>
      </c>
      <c r="B3" s="20" t="s">
        <v>96</v>
      </c>
      <c r="C3" s="20" t="s">
        <v>91</v>
      </c>
      <c r="D3" s="20" t="s">
        <v>41</v>
      </c>
      <c r="E3" s="136" t="s">
        <v>118</v>
      </c>
      <c r="F3" s="21" t="s">
        <v>119</v>
      </c>
    </row>
    <row r="4" spans="1:6" x14ac:dyDescent="0.2">
      <c r="A4" s="22" t="s">
        <v>92</v>
      </c>
      <c r="B4" s="137">
        <v>1462</v>
      </c>
      <c r="C4" s="138">
        <v>99.8</v>
      </c>
      <c r="D4" s="138">
        <v>91.2</v>
      </c>
      <c r="E4" s="138">
        <v>14</v>
      </c>
      <c r="F4" s="139">
        <v>92.4</v>
      </c>
    </row>
    <row r="5" spans="1:6" x14ac:dyDescent="0.2">
      <c r="A5" s="23" t="s">
        <v>93</v>
      </c>
      <c r="B5" s="140">
        <v>107</v>
      </c>
      <c r="C5" s="141">
        <v>99.1</v>
      </c>
      <c r="D5" s="141">
        <v>86.8</v>
      </c>
      <c r="E5" s="141">
        <v>2.7</v>
      </c>
      <c r="F5" s="142">
        <v>76.599999999999994</v>
      </c>
    </row>
    <row r="6" spans="1:6" x14ac:dyDescent="0.2">
      <c r="A6" s="24" t="s">
        <v>94</v>
      </c>
      <c r="B6" s="143">
        <v>374</v>
      </c>
      <c r="C6" s="144">
        <v>91.2</v>
      </c>
      <c r="D6" s="144">
        <v>77.7</v>
      </c>
      <c r="E6" s="144">
        <v>7</v>
      </c>
      <c r="F6" s="145">
        <v>58.8</v>
      </c>
    </row>
    <row r="7" spans="1:6" x14ac:dyDescent="0.2">
      <c r="A7" s="25" t="s">
        <v>1</v>
      </c>
      <c r="B7" s="146">
        <f>SUM(B4:B6)</f>
        <v>1943</v>
      </c>
      <c r="C7" s="147">
        <v>98.1</v>
      </c>
      <c r="D7" s="147">
        <v>88.6</v>
      </c>
      <c r="E7" s="147">
        <v>9.9</v>
      </c>
      <c r="F7" s="147">
        <v>85.1</v>
      </c>
    </row>
    <row r="8" spans="1:6" x14ac:dyDescent="0.2">
      <c r="A8" s="148" t="s">
        <v>42</v>
      </c>
    </row>
    <row r="10" spans="1:6" x14ac:dyDescent="0.2">
      <c r="A10" s="132" t="s">
        <v>43</v>
      </c>
    </row>
    <row r="11" spans="1:6" ht="24" x14ac:dyDescent="0.2">
      <c r="A11" s="19" t="s">
        <v>44</v>
      </c>
      <c r="B11" s="20" t="s">
        <v>96</v>
      </c>
      <c r="C11" s="20" t="s">
        <v>91</v>
      </c>
      <c r="D11" s="20" t="s">
        <v>41</v>
      </c>
      <c r="E11" s="136" t="s">
        <v>118</v>
      </c>
    </row>
    <row r="12" spans="1:6" x14ac:dyDescent="0.2">
      <c r="A12" s="22" t="s">
        <v>45</v>
      </c>
      <c r="B12" s="149">
        <v>485</v>
      </c>
      <c r="C12" s="138">
        <v>99.6</v>
      </c>
      <c r="D12" s="138">
        <v>96.1</v>
      </c>
      <c r="E12" s="138">
        <v>4.5999999999999996</v>
      </c>
    </row>
    <row r="13" spans="1:6" x14ac:dyDescent="0.2">
      <c r="A13" s="23" t="s">
        <v>46</v>
      </c>
      <c r="B13" s="140">
        <v>10</v>
      </c>
      <c r="C13" s="141">
        <v>100</v>
      </c>
      <c r="D13" s="141">
        <v>90</v>
      </c>
      <c r="E13" s="141">
        <v>0.1</v>
      </c>
    </row>
    <row r="14" spans="1:6" x14ac:dyDescent="0.2">
      <c r="A14" s="25" t="s">
        <v>1</v>
      </c>
      <c r="B14" s="150">
        <v>495</v>
      </c>
      <c r="C14" s="147">
        <v>99.6</v>
      </c>
      <c r="D14" s="147">
        <v>95.9</v>
      </c>
      <c r="E14" s="147">
        <v>4.7</v>
      </c>
    </row>
    <row r="15" spans="1:6" x14ac:dyDescent="0.2">
      <c r="A15" s="151" t="s">
        <v>47</v>
      </c>
    </row>
    <row r="17" spans="1:7" x14ac:dyDescent="0.2">
      <c r="A17" s="132" t="s">
        <v>13</v>
      </c>
    </row>
    <row r="18" spans="1:7" ht="39.75" customHeight="1" x14ac:dyDescent="0.2">
      <c r="A18" s="20" t="s">
        <v>96</v>
      </c>
      <c r="B18" s="26" t="s">
        <v>120</v>
      </c>
      <c r="C18" s="152" t="s">
        <v>118</v>
      </c>
    </row>
    <row r="19" spans="1:7" x14ac:dyDescent="0.2">
      <c r="A19" s="153">
        <v>63</v>
      </c>
      <c r="B19" s="153">
        <v>44</v>
      </c>
      <c r="C19" s="154">
        <f>(A19/'Tab2'!B18)*100</f>
        <v>1.1839879721856794</v>
      </c>
    </row>
    <row r="20" spans="1:7" x14ac:dyDescent="0.2">
      <c r="A20" s="151" t="s">
        <v>48</v>
      </c>
    </row>
    <row r="22" spans="1:7" x14ac:dyDescent="0.2">
      <c r="A22" s="132" t="s">
        <v>14</v>
      </c>
    </row>
    <row r="23" spans="1:7" ht="24" x14ac:dyDescent="0.2">
      <c r="A23" s="27" t="s">
        <v>96</v>
      </c>
      <c r="B23" s="27" t="s">
        <v>91</v>
      </c>
      <c r="C23" s="20" t="s">
        <v>41</v>
      </c>
      <c r="D23" s="155" t="s">
        <v>118</v>
      </c>
    </row>
    <row r="24" spans="1:7" ht="12.75" customHeight="1" x14ac:dyDescent="0.2">
      <c r="A24" s="156">
        <v>210</v>
      </c>
      <c r="B24" s="28">
        <v>98.1</v>
      </c>
      <c r="C24" s="157">
        <v>86.9</v>
      </c>
      <c r="D24" s="158">
        <v>2</v>
      </c>
    </row>
    <row r="25" spans="1:7" x14ac:dyDescent="0.2">
      <c r="A25" s="151" t="s">
        <v>49</v>
      </c>
    </row>
    <row r="26" spans="1:7" x14ac:dyDescent="0.2">
      <c r="A26" s="159"/>
    </row>
    <row r="31" spans="1:7" x14ac:dyDescent="0.2">
      <c r="G31" s="36">
        <f>6/210*100</f>
        <v>2.8571428571428572</v>
      </c>
    </row>
    <row r="32" spans="1:7" x14ac:dyDescent="0.2">
      <c r="G32" s="131">
        <v>1</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chapo</vt:lpstr>
      <vt:lpstr>Graph1</vt:lpstr>
      <vt:lpstr>Tab1</vt:lpstr>
      <vt:lpstr>Tab2</vt:lpstr>
      <vt:lpstr>Tab3</vt:lpstr>
      <vt:lpstr>Tab4</vt:lpstr>
      <vt:lpstr>Graph2</vt:lpstr>
      <vt:lpstr>Graph3</vt:lpstr>
      <vt:lpstr>Tab5</vt:lpstr>
      <vt:lpstr>Graph4</vt:lpstr>
      <vt:lpstr>Sources et définitions</vt:lpstr>
      <vt:lpstr>Graph1!Zone_d_impression</vt:lpstr>
      <vt:lpstr>Graph2!Zone_d_impression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Raphael Sigwald</dc:creator>
  <cp:lastModifiedBy>Fabienne Clement</cp:lastModifiedBy>
  <cp:lastPrinted>2022-03-10T13:31:51Z</cp:lastPrinted>
  <dcterms:created xsi:type="dcterms:W3CDTF">2021-05-18T07:49:07Z</dcterms:created>
  <dcterms:modified xsi:type="dcterms:W3CDTF">2024-03-26T13:05:23Z</dcterms:modified>
</cp:coreProperties>
</file>